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defaultThemeVersion="124226"/>
  <mc:AlternateContent xmlns:mc="http://schemas.openxmlformats.org/markup-compatibility/2006">
    <mc:Choice Requires="x15">
      <x15ac:absPath xmlns:x15ac="http://schemas.microsoft.com/office/spreadsheetml/2010/11/ac" url="C:\Users\212523799\Box Sync\MN Product Management\Cortecs\RA332\"/>
    </mc:Choice>
  </mc:AlternateContent>
  <xr:revisionPtr revIDLastSave="0" documentId="13_ncr:1_{B76DDF4D-9797-4B38-8B0C-F0E9CCE706A1}" xr6:coauthVersionLast="45" xr6:coauthVersionMax="45" xr10:uidLastSave="{00000000-0000-0000-0000-000000000000}"/>
  <workbookProtection workbookAlgorithmName="SHA-512" workbookHashValue="12AaLtoWQZqoxq7Bn/wr66Hx8SdBZVPov0WOv5v5RpsKADAMfif3clFqni6pw3UeLe6CkggqpdcKvadXdWA9hw==" workbookSaltValue="uWujxVbuzt/zty+flBejdA==" workbookSpinCount="100000" lockStructure="1"/>
  <bookViews>
    <workbookView xWindow="-120" yWindow="-120" windowWidth="29040" windowHeight="15840" tabRatio="617" xr2:uid="{00000000-000D-0000-FFFF-FFFF00000000}"/>
  </bookViews>
  <sheets>
    <sheet name="Disclaimer" sheetId="7" r:id="rId1"/>
    <sheet name="Cortec" sheetId="12" r:id="rId2"/>
    <sheet name="Configurator" sheetId="11" r:id="rId3"/>
    <sheet name="Master Text" sheetId="10" r:id="rId4"/>
    <sheet name="Boards &amp; Accessories" sheetId="14" r:id="rId5"/>
    <sheet name="Database" sheetId="9" state="hidden" r:id="rId6"/>
    <sheet name="Date Drivers" sheetId="6" state="hidden" r:id="rId7"/>
    <sheet name="Language" sheetId="13" state="hidden"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12" l="1"/>
  <c r="H31" i="10"/>
  <c r="AG1" i="6"/>
  <c r="I45" i="12" l="1"/>
  <c r="H35" i="12"/>
  <c r="G25" i="12"/>
  <c r="F15" i="12"/>
  <c r="AB1" i="6"/>
  <c r="H30" i="10"/>
  <c r="I43" i="12" l="1"/>
  <c r="H33" i="12"/>
  <c r="G23" i="12"/>
  <c r="I47" i="12"/>
  <c r="H37" i="12"/>
  <c r="G27" i="12"/>
  <c r="F17" i="12"/>
  <c r="F13" i="12"/>
  <c r="H29" i="10" l="1"/>
  <c r="W1" i="6"/>
  <c r="H28" i="10" l="1"/>
  <c r="R1" i="6" l="1"/>
  <c r="H27" i="10" l="1"/>
  <c r="M1" i="6" l="1"/>
  <c r="S23" i="11" l="1"/>
  <c r="S21" i="11"/>
  <c r="S27" i="11" l="1"/>
  <c r="Q3" i="11"/>
  <c r="Q2" i="11" s="1"/>
  <c r="A1" i="11" l="1"/>
  <c r="H24" i="10"/>
  <c r="A2" i="10"/>
  <c r="D57" i="9" l="1"/>
  <c r="D58" i="9" s="1"/>
  <c r="D59" i="9" s="1"/>
  <c r="D11" i="9"/>
  <c r="D12" i="9" s="1"/>
  <c r="D13" i="9" s="1"/>
  <c r="D14" i="9" s="1"/>
  <c r="D15" i="9" s="1"/>
  <c r="D16" i="9" s="1"/>
  <c r="D17" i="9" s="1"/>
  <c r="C10" i="9"/>
  <c r="C11" i="9" s="1"/>
  <c r="C12" i="9" s="1"/>
  <c r="C13" i="9" s="1"/>
  <c r="C14" i="9" s="1"/>
  <c r="C15" i="9" s="1"/>
  <c r="C16" i="9" s="1"/>
  <c r="C17" i="9" s="1"/>
  <c r="C66" i="9"/>
  <c r="C62" i="9"/>
  <c r="C63" i="9" s="1"/>
  <c r="C56" i="9"/>
  <c r="C57" i="9" s="1"/>
  <c r="C58" i="9" s="1"/>
  <c r="C59" i="9" s="1"/>
  <c r="C50" i="9"/>
  <c r="C51" i="9" s="1"/>
  <c r="C40" i="9"/>
  <c r="C41" i="9" s="1"/>
  <c r="C42" i="9" s="1"/>
  <c r="C43" i="9" s="1"/>
  <c r="C44" i="9" s="1"/>
  <c r="C30" i="9"/>
  <c r="C31" i="9" s="1"/>
  <c r="C32" i="9" s="1"/>
  <c r="C33" i="9" s="1"/>
  <c r="C34" i="9" s="1"/>
  <c r="C20" i="9"/>
  <c r="C21" i="9" s="1"/>
  <c r="C22" i="9" s="1"/>
  <c r="C23" i="9" s="1"/>
  <c r="C5" i="9"/>
  <c r="C6" i="9" s="1"/>
  <c r="C7" i="9" s="1"/>
  <c r="H1" i="6"/>
  <c r="H25" i="10" s="1"/>
  <c r="C1" i="6"/>
  <c r="K2" i="9"/>
  <c r="D63" i="9"/>
  <c r="D51" i="9"/>
  <c r="D52" i="9" s="1"/>
  <c r="D53" i="9" s="1"/>
  <c r="D41" i="9"/>
  <c r="D42" i="9" s="1"/>
  <c r="D31" i="9"/>
  <c r="D32" i="9" s="1"/>
  <c r="D33" i="9" s="1"/>
  <c r="D34" i="9" s="1"/>
  <c r="D21" i="9"/>
  <c r="D22" i="9" s="1"/>
  <c r="D23" i="9" s="1"/>
  <c r="D6" i="9"/>
  <c r="D7" i="9" s="1"/>
  <c r="K1" i="9"/>
  <c r="D24" i="9" l="1"/>
  <c r="D25" i="9" s="1"/>
  <c r="D26" i="9" s="1"/>
  <c r="D27" i="9" s="1"/>
  <c r="D35" i="9"/>
  <c r="D36" i="9" s="1"/>
  <c r="D37" i="9" s="1"/>
  <c r="C24" i="9"/>
  <c r="C35" i="9"/>
  <c r="C36" i="9" s="1"/>
  <c r="C37" i="9" s="1"/>
  <c r="C52" i="9"/>
  <c r="D43" i="9"/>
  <c r="D44" i="9" s="1"/>
  <c r="D45" i="9" s="1"/>
  <c r="D46" i="9" s="1"/>
  <c r="D47" i="9" s="1"/>
  <c r="C45" i="9"/>
  <c r="C46" i="9" s="1"/>
  <c r="C47" i="9" s="1"/>
  <c r="H7" i="9"/>
  <c r="H2" i="9"/>
  <c r="G7" i="9"/>
  <c r="G2" i="9"/>
  <c r="F7" i="9"/>
  <c r="E7" i="9"/>
  <c r="C53" i="9" l="1"/>
  <c r="C25" i="9"/>
  <c r="C26" i="9" s="1"/>
  <c r="C27" i="9" s="1"/>
  <c r="C3" i="13" l="1"/>
  <c r="B3" i="13"/>
  <c r="AG51" i="6" l="1"/>
  <c r="AG41" i="6"/>
  <c r="AG32" i="6"/>
  <c r="AG23" i="6"/>
  <c r="AG14" i="6"/>
  <c r="AG50" i="6"/>
  <c r="AG40" i="6"/>
  <c r="AG31" i="6"/>
  <c r="AG22" i="6"/>
  <c r="C31" i="10"/>
  <c r="AG48" i="6"/>
  <c r="AG39" i="6"/>
  <c r="AG30" i="6"/>
  <c r="AG21" i="6"/>
  <c r="AG12" i="6"/>
  <c r="AG43" i="6"/>
  <c r="AG52" i="6"/>
  <c r="AG15" i="6"/>
  <c r="AG6" i="6"/>
  <c r="A9" i="12" s="1"/>
  <c r="AG47" i="6"/>
  <c r="AG38" i="6"/>
  <c r="AG29" i="6"/>
  <c r="AG20" i="6"/>
  <c r="AG11" i="6"/>
  <c r="AG34" i="6"/>
  <c r="AG7" i="6"/>
  <c r="AG33" i="6"/>
  <c r="AG13" i="6"/>
  <c r="AG58" i="6"/>
  <c r="AG46" i="6"/>
  <c r="AG37" i="6"/>
  <c r="AG28" i="6"/>
  <c r="AG19" i="6"/>
  <c r="AG10" i="6"/>
  <c r="AG53" i="6"/>
  <c r="AG25" i="6"/>
  <c r="AG24" i="6"/>
  <c r="AG55" i="6"/>
  <c r="AG45" i="6"/>
  <c r="AG36" i="6"/>
  <c r="AG27" i="6"/>
  <c r="AG18" i="6"/>
  <c r="AG9" i="6"/>
  <c r="AG16" i="6"/>
  <c r="AG42" i="6"/>
  <c r="AG5" i="6"/>
  <c r="AG4" i="6" s="1"/>
  <c r="AB58" i="6"/>
  <c r="AB51" i="6"/>
  <c r="AB46" i="6"/>
  <c r="AB41" i="6"/>
  <c r="AB37" i="6"/>
  <c r="AB32" i="6"/>
  <c r="AB28" i="6"/>
  <c r="AB23" i="6"/>
  <c r="AB19" i="6"/>
  <c r="AB14" i="6"/>
  <c r="AB10" i="6"/>
  <c r="AB5" i="6"/>
  <c r="AB4" i="6" s="1"/>
  <c r="AB16" i="6"/>
  <c r="AB47" i="6"/>
  <c r="AB29" i="6"/>
  <c r="AB6" i="6"/>
  <c r="AB55" i="6"/>
  <c r="AB50" i="6"/>
  <c r="AB45" i="6"/>
  <c r="AB40" i="6"/>
  <c r="AB36" i="6"/>
  <c r="AB31" i="6"/>
  <c r="AB27" i="6"/>
  <c r="AB22" i="6"/>
  <c r="AB18" i="6"/>
  <c r="AB13" i="6"/>
  <c r="AB9" i="6"/>
  <c r="AB21" i="6"/>
  <c r="AB12" i="6"/>
  <c r="AB42" i="6"/>
  <c r="AB38" i="6"/>
  <c r="AB24" i="6"/>
  <c r="AB15" i="6"/>
  <c r="C30" i="10"/>
  <c r="AB53" i="6"/>
  <c r="AB48" i="6"/>
  <c r="AB43" i="6"/>
  <c r="AB39" i="6"/>
  <c r="AB34" i="6"/>
  <c r="AB30" i="6"/>
  <c r="AB25" i="6"/>
  <c r="AB7" i="6"/>
  <c r="AB52" i="6"/>
  <c r="AB33" i="6"/>
  <c r="AB20" i="6"/>
  <c r="AB11" i="6"/>
  <c r="B11" i="7"/>
  <c r="W6" i="6"/>
  <c r="W55" i="6"/>
  <c r="W50" i="6"/>
  <c r="W45" i="6"/>
  <c r="W40" i="6"/>
  <c r="W36" i="6"/>
  <c r="W31" i="6"/>
  <c r="W27" i="6"/>
  <c r="W22" i="6"/>
  <c r="W18" i="6"/>
  <c r="W13" i="6"/>
  <c r="W9" i="6"/>
  <c r="W51" i="6"/>
  <c r="W41" i="6"/>
  <c r="W37" i="6"/>
  <c r="W28" i="6"/>
  <c r="W19" i="6"/>
  <c r="W53" i="6"/>
  <c r="W48" i="6"/>
  <c r="W43" i="6"/>
  <c r="W39" i="6"/>
  <c r="W34" i="6"/>
  <c r="W30" i="6"/>
  <c r="W25" i="6"/>
  <c r="W21" i="6"/>
  <c r="W16" i="6"/>
  <c r="W12" i="6"/>
  <c r="W7" i="6"/>
  <c r="W46" i="6"/>
  <c r="W32" i="6"/>
  <c r="C29" i="10"/>
  <c r="W52" i="6"/>
  <c r="W47" i="6"/>
  <c r="W42" i="6"/>
  <c r="W38" i="6"/>
  <c r="W33" i="6"/>
  <c r="W29" i="6"/>
  <c r="W24" i="6"/>
  <c r="W20" i="6"/>
  <c r="W15" i="6"/>
  <c r="W11" i="6"/>
  <c r="W5" i="6"/>
  <c r="W4" i="6" s="1"/>
  <c r="W58" i="6"/>
  <c r="W23" i="6"/>
  <c r="W14" i="6"/>
  <c r="W10" i="6"/>
  <c r="B3" i="12"/>
  <c r="R43" i="6"/>
  <c r="R39" i="6"/>
  <c r="R34" i="6"/>
  <c r="R30" i="6"/>
  <c r="R25" i="6"/>
  <c r="R21" i="6"/>
  <c r="R12" i="6"/>
  <c r="H41" i="6"/>
  <c r="H34" i="6"/>
  <c r="H29" i="6"/>
  <c r="H23" i="6"/>
  <c r="H22" i="6"/>
  <c r="R37" i="6"/>
  <c r="R28" i="6"/>
  <c r="R19" i="6"/>
  <c r="H38" i="6"/>
  <c r="H25" i="6"/>
  <c r="R40" i="6"/>
  <c r="R31" i="6"/>
  <c r="R22" i="6"/>
  <c r="H42" i="6"/>
  <c r="H31" i="6"/>
  <c r="H18" i="6"/>
  <c r="R42" i="6"/>
  <c r="R38" i="6"/>
  <c r="R33" i="6"/>
  <c r="R29" i="6"/>
  <c r="R24" i="6"/>
  <c r="R20" i="6"/>
  <c r="R10" i="6"/>
  <c r="H40" i="6"/>
  <c r="H33" i="6"/>
  <c r="H27" i="6"/>
  <c r="R41" i="6"/>
  <c r="R32" i="6"/>
  <c r="R23" i="6"/>
  <c r="H43" i="6"/>
  <c r="H32" i="6"/>
  <c r="H20" i="6"/>
  <c r="R36" i="6"/>
  <c r="R27" i="6"/>
  <c r="R18" i="6"/>
  <c r="H36" i="6"/>
  <c r="H24" i="6"/>
  <c r="B3" i="7"/>
  <c r="H15" i="6"/>
  <c r="H9" i="6"/>
  <c r="H11" i="6"/>
  <c r="H14" i="6"/>
  <c r="H13" i="6"/>
  <c r="H16" i="6"/>
  <c r="A3" i="12"/>
  <c r="A1" i="12"/>
  <c r="B4" i="7"/>
  <c r="B6" i="7"/>
  <c r="C24" i="10"/>
  <c r="C28" i="10"/>
  <c r="R58" i="6"/>
  <c r="R51" i="6"/>
  <c r="R46" i="6"/>
  <c r="R16" i="6"/>
  <c r="R11" i="6"/>
  <c r="R5" i="6"/>
  <c r="R4" i="6" s="1"/>
  <c r="R15" i="6"/>
  <c r="R14" i="6"/>
  <c r="R47" i="6"/>
  <c r="R13" i="6"/>
  <c r="R6" i="6"/>
  <c r="R55" i="6"/>
  <c r="R50" i="6"/>
  <c r="R45" i="6"/>
  <c r="R9" i="6"/>
  <c r="R53" i="6"/>
  <c r="R48" i="6"/>
  <c r="R7" i="6"/>
  <c r="R52" i="6"/>
  <c r="C26" i="10"/>
  <c r="M55" i="6"/>
  <c r="C27" i="10"/>
  <c r="M58" i="6"/>
  <c r="M50" i="6"/>
  <c r="M45" i="6"/>
  <c r="M40" i="6"/>
  <c r="M33" i="6"/>
  <c r="M27" i="6"/>
  <c r="M22" i="6"/>
  <c r="M15" i="6"/>
  <c r="M9" i="6"/>
  <c r="M53" i="6"/>
  <c r="M48" i="6"/>
  <c r="M43" i="6"/>
  <c r="M38" i="6"/>
  <c r="M32" i="6"/>
  <c r="M25" i="6"/>
  <c r="M20" i="6"/>
  <c r="M14" i="6"/>
  <c r="M7" i="6"/>
  <c r="M52" i="6"/>
  <c r="M47" i="6"/>
  <c r="M42" i="6"/>
  <c r="M36" i="6"/>
  <c r="M30" i="6"/>
  <c r="M24" i="6"/>
  <c r="M18" i="6"/>
  <c r="M13" i="6"/>
  <c r="M6" i="6"/>
  <c r="M51" i="6"/>
  <c r="M46" i="6"/>
  <c r="M41" i="6"/>
  <c r="M34" i="6"/>
  <c r="M28" i="6"/>
  <c r="M23" i="6"/>
  <c r="M16" i="6"/>
  <c r="M11" i="6"/>
  <c r="M5" i="6"/>
  <c r="M4" i="6" s="1"/>
  <c r="C25" i="10"/>
  <c r="Q1" i="11"/>
  <c r="A23" i="10"/>
  <c r="H6" i="6"/>
  <c r="H7" i="6"/>
  <c r="H53" i="6"/>
  <c r="H48" i="6"/>
  <c r="C58" i="6"/>
  <c r="B55" i="6"/>
  <c r="C50" i="6"/>
  <c r="C46" i="6"/>
  <c r="C41" i="6"/>
  <c r="B36" i="6"/>
  <c r="C30" i="6"/>
  <c r="C25" i="6"/>
  <c r="C20" i="6"/>
  <c r="C15" i="6"/>
  <c r="B45" i="6"/>
  <c r="B6" i="6"/>
  <c r="H58" i="6"/>
  <c r="H52" i="6"/>
  <c r="H47" i="6"/>
  <c r="C56" i="6"/>
  <c r="C53" i="6"/>
  <c r="B50" i="6"/>
  <c r="C45" i="6"/>
  <c r="C40" i="6"/>
  <c r="C34" i="6"/>
  <c r="C28" i="6"/>
  <c r="C24" i="6"/>
  <c r="C18" i="6"/>
  <c r="C14" i="6"/>
  <c r="C9" i="6"/>
  <c r="C5" i="6"/>
  <c r="C4" i="6" s="1"/>
  <c r="A6" i="12" s="1"/>
  <c r="H56" i="6"/>
  <c r="H51" i="6"/>
  <c r="H46" i="6"/>
  <c r="C55" i="6"/>
  <c r="C52" i="6"/>
  <c r="C48" i="6"/>
  <c r="C43" i="6"/>
  <c r="C38" i="6"/>
  <c r="C33" i="6"/>
  <c r="C27" i="6"/>
  <c r="C23" i="6"/>
  <c r="B18" i="6"/>
  <c r="C13" i="6"/>
  <c r="B9" i="6"/>
  <c r="B4" i="6"/>
  <c r="A5" i="12" s="1"/>
  <c r="H55" i="6"/>
  <c r="H50" i="6"/>
  <c r="H45" i="6"/>
  <c r="H5" i="6"/>
  <c r="B58" i="6"/>
  <c r="C51" i="6"/>
  <c r="C47" i="6"/>
  <c r="C42" i="6"/>
  <c r="C36" i="6"/>
  <c r="C32" i="6"/>
  <c r="B27" i="6"/>
  <c r="C22" i="6"/>
  <c r="C16" i="6"/>
  <c r="C11" i="6"/>
  <c r="C6" i="6"/>
  <c r="E5" i="9"/>
  <c r="F5" i="9"/>
  <c r="F23" i="9"/>
  <c r="G23" i="9"/>
  <c r="G45" i="9"/>
  <c r="E23" i="9"/>
  <c r="G21" i="9"/>
  <c r="E22" i="9"/>
  <c r="G22" i="9"/>
  <c r="E21" i="9"/>
  <c r="F22" i="9"/>
  <c r="H25" i="9"/>
  <c r="G35" i="9"/>
  <c r="H35" i="9"/>
  <c r="E13" i="9"/>
  <c r="F13" i="9"/>
  <c r="E12" i="9"/>
  <c r="H21" i="9"/>
  <c r="H23" i="9"/>
  <c r="G25" i="9"/>
  <c r="G15" i="9"/>
  <c r="F12" i="9"/>
  <c r="H15" i="9"/>
  <c r="H22" i="9"/>
  <c r="F21" i="9"/>
  <c r="H45" i="9"/>
  <c r="E10" i="12" l="1"/>
  <c r="A10" i="12"/>
  <c r="A45" i="12"/>
  <c r="A25" i="12"/>
  <c r="A35" i="12"/>
  <c r="A15" i="12"/>
  <c r="A47" i="12"/>
  <c r="A17" i="12"/>
  <c r="A37" i="12"/>
  <c r="A27" i="12"/>
  <c r="A33" i="12"/>
  <c r="A23" i="12"/>
  <c r="A43" i="12"/>
  <c r="A13" i="12"/>
  <c r="H4" i="6"/>
  <c r="H52" i="9"/>
  <c r="G56" i="9"/>
  <c r="B19" i="9"/>
  <c r="G51" i="9"/>
  <c r="F51" i="9"/>
  <c r="H56" i="9"/>
  <c r="H66" i="9"/>
  <c r="H58" i="9"/>
  <c r="G52" i="9"/>
  <c r="B55" i="9"/>
  <c r="F53" i="9"/>
  <c r="E53" i="9"/>
  <c r="B61" i="9"/>
  <c r="F57" i="9"/>
  <c r="B49" i="9"/>
  <c r="F63" i="9"/>
  <c r="F59" i="9"/>
  <c r="F66" i="9"/>
  <c r="B9" i="9"/>
  <c r="G53" i="9"/>
  <c r="E66" i="9"/>
  <c r="F52" i="9"/>
  <c r="E56" i="9"/>
  <c r="H53" i="9"/>
  <c r="H5" i="9"/>
  <c r="E59" i="9"/>
  <c r="G59" i="9"/>
  <c r="G5" i="9"/>
  <c r="H63" i="9"/>
  <c r="B4" i="9"/>
  <c r="E52" i="9"/>
  <c r="F62" i="9"/>
  <c r="G57" i="9"/>
  <c r="E51" i="9"/>
  <c r="H50" i="9"/>
  <c r="H57" i="9"/>
  <c r="E63" i="9"/>
  <c r="B39" i="9"/>
  <c r="G50" i="9"/>
  <c r="G63" i="9"/>
  <c r="E58" i="9"/>
  <c r="E2" i="9"/>
  <c r="H51" i="9"/>
  <c r="E50" i="9"/>
  <c r="E62" i="9"/>
  <c r="G66" i="9"/>
  <c r="G62" i="9"/>
  <c r="E57" i="9"/>
  <c r="F56" i="9"/>
  <c r="G58" i="9"/>
  <c r="B29" i="9"/>
  <c r="F58" i="9"/>
  <c r="H62" i="9"/>
  <c r="F50" i="9"/>
  <c r="H59" i="9"/>
  <c r="B65" i="9"/>
  <c r="F65" i="9" l="1"/>
  <c r="A20" i="10" s="1"/>
  <c r="E49" i="9"/>
  <c r="A14" i="10" s="1"/>
  <c r="A53" i="12"/>
  <c r="S17" i="11"/>
  <c r="E4" i="9"/>
  <c r="A4" i="10" s="1"/>
  <c r="H65" i="9"/>
  <c r="S19" i="11" s="1"/>
  <c r="J55" i="12"/>
  <c r="S15" i="11"/>
  <c r="A15" i="10"/>
  <c r="A58" i="12"/>
  <c r="A16" i="11"/>
  <c r="G65" i="9"/>
  <c r="H4" i="9"/>
  <c r="S5" i="11" s="1"/>
  <c r="F49" i="9"/>
  <c r="G15" i="11" s="1"/>
  <c r="L3" i="11" s="1"/>
  <c r="J53" i="12"/>
  <c r="A56" i="12"/>
  <c r="H49" i="9"/>
  <c r="K61" i="12"/>
  <c r="A62" i="12"/>
  <c r="A18" i="11"/>
  <c r="A64" i="12"/>
  <c r="A17" i="10"/>
  <c r="A65" i="12"/>
  <c r="E61" i="9"/>
  <c r="A18" i="10" s="1"/>
  <c r="K60" i="12"/>
  <c r="A7" i="10"/>
  <c r="A22" i="12"/>
  <c r="A8" i="11"/>
  <c r="A3" i="10"/>
  <c r="A8" i="12"/>
  <c r="A4" i="11"/>
  <c r="F3" i="11"/>
  <c r="D6" i="12"/>
  <c r="J56" i="12"/>
  <c r="F61" i="9"/>
  <c r="G19" i="11" s="1"/>
  <c r="N3" i="11" s="1"/>
  <c r="L65" i="12"/>
  <c r="A6" i="11"/>
  <c r="A12" i="12"/>
  <c r="A5" i="10"/>
  <c r="A59" i="12"/>
  <c r="E55" i="9"/>
  <c r="A16" i="10" s="1"/>
  <c r="A60" i="12"/>
  <c r="K62" i="12"/>
  <c r="F4" i="9"/>
  <c r="G5" i="11" s="1"/>
  <c r="G3" i="11" s="1"/>
  <c r="G4" i="9"/>
  <c r="M68" i="12"/>
  <c r="A55" i="12"/>
  <c r="A54" i="12"/>
  <c r="A9" i="10"/>
  <c r="A32" i="12"/>
  <c r="A10" i="11"/>
  <c r="J54" i="12"/>
  <c r="G61" i="9"/>
  <c r="G49" i="9"/>
  <c r="A11" i="10"/>
  <c r="A12" i="11"/>
  <c r="A42" i="12"/>
  <c r="G55" i="9"/>
  <c r="A52" i="12"/>
  <c r="A14" i="11"/>
  <c r="A13" i="10"/>
  <c r="A68" i="12"/>
  <c r="E65" i="9"/>
  <c r="A61" i="12"/>
  <c r="H61" i="9"/>
  <c r="F55" i="9"/>
  <c r="G17" i="11" s="1"/>
  <c r="M3" i="11" s="1"/>
  <c r="K59" i="12"/>
  <c r="H55" i="9"/>
  <c r="A19" i="10"/>
  <c r="A20" i="11"/>
  <c r="A67" i="12"/>
  <c r="G21" i="11" l="1"/>
  <c r="O3" i="11" s="1"/>
  <c r="F33" i="9"/>
  <c r="E14" i="9"/>
  <c r="F14" i="9"/>
  <c r="F44" i="9"/>
  <c r="H37" i="9"/>
  <c r="G11" i="9"/>
  <c r="E34" i="9"/>
  <c r="E24" i="9"/>
  <c r="E33" i="9"/>
  <c r="E30" i="9"/>
  <c r="F30" i="9"/>
  <c r="H20" i="9"/>
  <c r="H33" i="9"/>
  <c r="G44" i="9"/>
  <c r="H46" i="9"/>
  <c r="G37" i="9"/>
  <c r="G14" i="9"/>
  <c r="G42" i="9"/>
  <c r="H44" i="9"/>
  <c r="G10" i="9"/>
  <c r="H16" i="9"/>
  <c r="E42" i="9"/>
  <c r="E10" i="9"/>
  <c r="F34" i="9"/>
  <c r="H41" i="9"/>
  <c r="H14" i="9"/>
  <c r="H24" i="9"/>
  <c r="H11" i="9"/>
  <c r="H26" i="9"/>
  <c r="E31" i="9"/>
  <c r="E40" i="9"/>
  <c r="G27" i="9"/>
  <c r="H31" i="9"/>
  <c r="H13" i="9"/>
  <c r="G46" i="9"/>
  <c r="E43" i="9"/>
  <c r="H36" i="9"/>
  <c r="G41" i="9"/>
  <c r="F20" i="9"/>
  <c r="G31" i="9"/>
  <c r="E44" i="9"/>
  <c r="H47" i="9"/>
  <c r="E20" i="9"/>
  <c r="E11" i="9"/>
  <c r="H30" i="9"/>
  <c r="E41" i="9"/>
  <c r="F24" i="9"/>
  <c r="G34" i="9"/>
  <c r="G32" i="9"/>
  <c r="G26" i="9"/>
  <c r="G24" i="9"/>
  <c r="G36" i="9"/>
  <c r="G20" i="9"/>
  <c r="F40" i="9"/>
  <c r="G33" i="9"/>
  <c r="G43" i="9"/>
  <c r="H42" i="9"/>
  <c r="F43" i="9"/>
  <c r="F41" i="9"/>
  <c r="G47" i="9"/>
  <c r="F10" i="9"/>
  <c r="G40" i="9"/>
  <c r="H12" i="9"/>
  <c r="H43" i="9"/>
  <c r="F42" i="9"/>
  <c r="H32" i="9"/>
  <c r="G16" i="9"/>
  <c r="G17" i="9"/>
  <c r="G12" i="9"/>
  <c r="G13" i="9"/>
  <c r="H27" i="9"/>
  <c r="F31" i="9"/>
  <c r="H17" i="9"/>
  <c r="H40" i="9"/>
  <c r="H34" i="9"/>
  <c r="H10" i="9"/>
  <c r="E32" i="9"/>
  <c r="G30" i="9"/>
  <c r="F32" i="9"/>
  <c r="F19" i="9" l="1"/>
  <c r="G9" i="11" s="1"/>
  <c r="I3" i="11" s="1"/>
  <c r="G30" i="12"/>
  <c r="H29" i="9"/>
  <c r="A46" i="12"/>
  <c r="F19" i="12"/>
  <c r="G39" i="9"/>
  <c r="A38" i="12"/>
  <c r="A16" i="12"/>
  <c r="H36" i="12"/>
  <c r="A44" i="12"/>
  <c r="G29" i="12"/>
  <c r="I46" i="12"/>
  <c r="A49" i="12"/>
  <c r="A19" i="12"/>
  <c r="G26" i="12"/>
  <c r="G9" i="9"/>
  <c r="E29" i="9"/>
  <c r="A10" i="10" s="1"/>
  <c r="A40" i="12"/>
  <c r="I44" i="12"/>
  <c r="I48" i="12"/>
  <c r="A39" i="12"/>
  <c r="G28" i="12"/>
  <c r="E39" i="9"/>
  <c r="A12" i="10" s="1"/>
  <c r="A50" i="12"/>
  <c r="A36" i="12"/>
  <c r="A34" i="12"/>
  <c r="H9" i="9"/>
  <c r="S7" i="11" s="1"/>
  <c r="G29" i="9"/>
  <c r="S11" i="11"/>
  <c r="A29" i="12"/>
  <c r="A28" i="12"/>
  <c r="S9" i="11"/>
  <c r="F14" i="12"/>
  <c r="I50" i="12"/>
  <c r="F39" i="9"/>
  <c r="G13" i="11" s="1"/>
  <c r="K3" i="11" s="1"/>
  <c r="G19" i="9"/>
  <c r="S13" i="11"/>
  <c r="H39" i="12"/>
  <c r="A48" i="12"/>
  <c r="F20" i="12"/>
  <c r="H19" i="9"/>
  <c r="I49" i="12"/>
  <c r="A30" i="12"/>
  <c r="E19" i="9"/>
  <c r="A8" i="10" s="1"/>
  <c r="G24" i="12"/>
  <c r="A14" i="12"/>
  <c r="H38" i="12"/>
  <c r="H39" i="9"/>
  <c r="H34" i="12"/>
  <c r="E9" i="9"/>
  <c r="A6" i="10" s="1"/>
  <c r="A20" i="12"/>
  <c r="A26" i="12"/>
  <c r="A18" i="12"/>
  <c r="A24" i="12"/>
  <c r="F18" i="12"/>
  <c r="F29" i="9"/>
  <c r="G11" i="11" s="1"/>
  <c r="J3" i="11" s="1"/>
  <c r="H40" i="12"/>
  <c r="F11" i="9"/>
  <c r="F9" i="9" l="1"/>
  <c r="E3" i="9" s="1"/>
  <c r="A1" i="10" s="1"/>
  <c r="F16" i="12"/>
  <c r="G7" i="11" l="1"/>
  <c r="H3" i="11" s="1"/>
</calcChain>
</file>

<file path=xl/sharedStrings.xml><?xml version="1.0" encoding="utf-8"?>
<sst xmlns="http://schemas.openxmlformats.org/spreadsheetml/2006/main" count="686" uniqueCount="191">
  <si>
    <t>A</t>
  </si>
  <si>
    <t>B</t>
  </si>
  <si>
    <t>C</t>
  </si>
  <si>
    <t xml:space="preserve">Our policy is one of continuous development. Accordingly the design of our products may change at any time. </t>
  </si>
  <si>
    <t>Whilst every effort is made to produce up to date literature, this document should only be regarded as a guide and is intended for information purposes only.</t>
  </si>
  <si>
    <t>Its contents do not constitute an offer for sale or advice on the application of any product referred to in it. We cannot be held responsible for any reliance on any decisions taken on its contents without specific advice.</t>
  </si>
  <si>
    <t>Variants</t>
  </si>
  <si>
    <t>Order Number</t>
  </si>
  <si>
    <t>1-5</t>
  </si>
  <si>
    <t>Model Type</t>
  </si>
  <si>
    <t>Power Supply</t>
  </si>
  <si>
    <t>X</t>
  </si>
  <si>
    <t>Customization / Regionalisation</t>
  </si>
  <si>
    <t>Default</t>
  </si>
  <si>
    <t>Reason branding</t>
  </si>
  <si>
    <t>Hardware Design Suffix</t>
  </si>
  <si>
    <t>Analogue Inputs 1 to 4</t>
  </si>
  <si>
    <t>1 A / 115 V</t>
  </si>
  <si>
    <t>5 A / 115 V</t>
  </si>
  <si>
    <t>5 A (PMU) / 115 V</t>
  </si>
  <si>
    <t>0-20 mA / ± 10 V</t>
  </si>
  <si>
    <t>100 mA / 115 V</t>
  </si>
  <si>
    <t>T</t>
  </si>
  <si>
    <t>D</t>
  </si>
  <si>
    <t>P</t>
  </si>
  <si>
    <t>Analogue Inputs 5 to 8</t>
  </si>
  <si>
    <t>Digital Inputs 1 to 16</t>
  </si>
  <si>
    <t>24 V / 48 V</t>
  </si>
  <si>
    <t>125 V</t>
  </si>
  <si>
    <t>250 V</t>
  </si>
  <si>
    <t>(Reserved for) 1 A (PMU) / 115 V</t>
  </si>
  <si>
    <t>Digital Inputs 17 to 32</t>
  </si>
  <si>
    <t>Languages</t>
  </si>
  <si>
    <t>En</t>
  </si>
  <si>
    <t>Pt</t>
  </si>
  <si>
    <t>Es</t>
  </si>
  <si>
    <t>Modelo</t>
  </si>
  <si>
    <t>Acquisition Module for RPV311</t>
  </si>
  <si>
    <t>Módulo de Aquisição para RPV311</t>
  </si>
  <si>
    <t xml:space="preserve">Módulo de Adquisición de RPV311 </t>
  </si>
  <si>
    <t>English</t>
  </si>
  <si>
    <t>Português</t>
  </si>
  <si>
    <t>Alimentação</t>
  </si>
  <si>
    <t xml:space="preserve">Alimentación </t>
  </si>
  <si>
    <t>Espanhol</t>
  </si>
  <si>
    <t>Entradas Analógicas 1 to 4</t>
  </si>
  <si>
    <t xml:space="preserve">Entradas Analógicas 1-4 </t>
  </si>
  <si>
    <t>(Reservado para) 1 A (PMU) / 115 V</t>
  </si>
  <si>
    <t xml:space="preserve">(Reservado para) 1 A (PMU) / 115 V </t>
  </si>
  <si>
    <t>Entradas Analógicas 5 to 8</t>
  </si>
  <si>
    <t>Entradas Analógicas 5-8</t>
  </si>
  <si>
    <t>Analogue Inputs 9 to 12</t>
  </si>
  <si>
    <t>Entradas Analógicas 9 to 12</t>
  </si>
  <si>
    <t>Entradas Analógicas 9-12</t>
  </si>
  <si>
    <t>Analogue Inputs 13 to 16</t>
  </si>
  <si>
    <t>Entradas Analógicas 13 to 16</t>
  </si>
  <si>
    <t>Entradas Analógicas 13-16</t>
  </si>
  <si>
    <t>Entradas Digitais 1 to 16</t>
  </si>
  <si>
    <t>Entradas Digitales 1-16</t>
  </si>
  <si>
    <t>Entradas Digitais 17 to 32</t>
  </si>
  <si>
    <t>Entradas Digitales 17-32</t>
  </si>
  <si>
    <t>Customização / Regionalização</t>
  </si>
  <si>
    <t>Personalización / Regionalización</t>
  </si>
  <si>
    <t>Marca Reason</t>
  </si>
  <si>
    <t>Third version</t>
  </si>
  <si>
    <t>Sample Customer specific</t>
  </si>
  <si>
    <t>Amostra Específica do Cliente</t>
  </si>
  <si>
    <t>Muestra Específica del Cliente</t>
  </si>
  <si>
    <t>Original Created</t>
  </si>
  <si>
    <t>Criado Originalmente</t>
  </si>
  <si>
    <t>Creado Originalmente</t>
  </si>
  <si>
    <t>Language Selection</t>
  </si>
  <si>
    <t>Seleção de idioma</t>
  </si>
  <si>
    <t>Selección del Idioma</t>
  </si>
  <si>
    <t>Nuestra política es de desarrollo continuo. Por lo tanto el diseño de nuestros productos puede cambiar en cualquier momento.</t>
  </si>
  <si>
    <t xml:space="preserve">Embora sejam demandados esforços para manter a documentação atualizada, este documento deve ser visto como um guia e destina-se apenas para fins informativos. </t>
  </si>
  <si>
    <t>A pesar del esfuerzo por producir literatura actualizada, este documento sólo debe considerarse como una guía y está destinada únicamente a fines informativos.</t>
  </si>
  <si>
    <t>Seu conteúdo não constitui uma proposta para venda ou recomendação sobre a aplicação de qualquer produto nele mencionado. Nós não podemos ser responsabilizados por quaisquer consequências em decisões tomadas sobre o seu conteúdo, sem recomendações específicas.</t>
  </si>
  <si>
    <t>Su contenido no constituye una oferta de venta o asesoramiento en la aplicación de cualquier producto contemplado en el mismo. No podemos ser responsables por cualquier dependencia de las decisiones adoptadas en su contenido sin notificación al respecto.</t>
  </si>
  <si>
    <t>Information required with Order:</t>
  </si>
  <si>
    <t>Informações requeridas para o pedido:</t>
  </si>
  <si>
    <t>Información necesaria para la Orden de Compra:</t>
  </si>
  <si>
    <t>Variantes</t>
  </si>
  <si>
    <t>Número de Orden</t>
  </si>
  <si>
    <t>New function</t>
  </si>
  <si>
    <t>Nova função</t>
  </si>
  <si>
    <t>Nueva función</t>
  </si>
  <si>
    <t>Issue:</t>
  </si>
  <si>
    <t>Emissão:</t>
  </si>
  <si>
    <t>Emisión:</t>
  </si>
  <si>
    <t>Nossa política é de desenvolvimento contínuo. Portanto, o projeto de nossos produtos pode mudar a qualquer momento.</t>
  </si>
  <si>
    <t>Not installed</t>
  </si>
  <si>
    <t>Não instalado</t>
  </si>
  <si>
    <t>No instalado</t>
  </si>
  <si>
    <t>Sufijo Designador del Hardware</t>
  </si>
  <si>
    <t>Sufixo Designador do Hardware</t>
  </si>
  <si>
    <t>Terceira versão</t>
  </si>
  <si>
    <t>Tercera versión</t>
  </si>
  <si>
    <t>Base date:</t>
  </si>
  <si>
    <t>Key date:</t>
  </si>
  <si>
    <t>Pos</t>
  </si>
  <si>
    <t>Description</t>
  </si>
  <si>
    <t>Option</t>
  </si>
  <si>
    <t>Code</t>
  </si>
  <si>
    <t>Cost</t>
  </si>
  <si>
    <t>Avail.</t>
  </si>
  <si>
    <t>Chassis</t>
  </si>
  <si>
    <t>Y</t>
  </si>
  <si>
    <t>Date Drivers start reference</t>
  </si>
  <si>
    <t>Model:</t>
  </si>
  <si>
    <t>Date Drivers finish reference</t>
  </si>
  <si>
    <t>CORTEC:</t>
  </si>
  <si>
    <t>Voltage inputs 115 V / Current inputs 100 mA; full-scale 100 mA (Ith = 2 A)</t>
  </si>
  <si>
    <t>Entradas de tensão de 115 V / Entradas de corrente de 100 mA; fundo de escala 100 mA (Ith = 2 A)</t>
  </si>
  <si>
    <t>Entradas de tensión de 115 V / Entradas de corriente de 100 mA; plena escala 100 mA (Ith = 2 A)</t>
  </si>
  <si>
    <t>Voltage inputs ±10 Vdc / Current inputs 0-20 mAdc</t>
  </si>
  <si>
    <t>Entradas de tensão de ±10 Vcc / Entradas de corrente de 0-20 mAcc</t>
  </si>
  <si>
    <t>Entradas de tensión de ±10 Vcc / Entradas de corriente de 0-20 mAcc</t>
  </si>
  <si>
    <t>Adicionada a opção de fonte 24-48 Vcc, alterada a descrição de entradas analógicas</t>
  </si>
  <si>
    <t>Añadida la opción de alimentación 24-48 Vcc, cambiada la descripción de entradas analógicas</t>
  </si>
  <si>
    <t>Added 24-48 Vdc power supply option, changed analog boards description</t>
  </si>
  <si>
    <t>Material Cost</t>
  </si>
  <si>
    <t>Custo de Material</t>
  </si>
  <si>
    <t>Costo de Materiales</t>
  </si>
  <si>
    <t>Orders on request</t>
  </si>
  <si>
    <t>Venda sob-consulta</t>
  </si>
  <si>
    <t>Pedidos mediante consulta</t>
  </si>
  <si>
    <t>RA332</t>
  </si>
  <si>
    <t>100-250 Vdc / 110-240 Vac</t>
  </si>
  <si>
    <t>100-250 Vcc / 110-240 Vca</t>
  </si>
  <si>
    <t>Corrected power supply range for option 3</t>
  </si>
  <si>
    <t>Corrigido os valores nominais para fonte de alimentação opção 3</t>
  </si>
  <si>
    <t>Ajustados los valores nominales de la alimentación opción 3</t>
  </si>
  <si>
    <t>GE branding</t>
  </si>
  <si>
    <t>Marca GE</t>
  </si>
  <si>
    <t>Changed branding to GE</t>
  </si>
  <si>
    <t>Alterada a marca para GE</t>
  </si>
  <si>
    <t>Cambiada la marca para GE</t>
  </si>
  <si>
    <t>Adicionada a opção de placa analogica com entradas de 40xIn de faixa de medição</t>
  </si>
  <si>
    <t>Se ha agregado la opción de tarjeta analógica con entradas de 40xIn de rango de medición</t>
  </si>
  <si>
    <t>E</t>
  </si>
  <si>
    <t>Voltage inputs 115 V / Current inputs 1 A; full-scale 40 A (Ith = 100 A)</t>
  </si>
  <si>
    <t>Entradas de tensão de 115 V / Entradas de corrente de 1 A; fundo de escala 40 A (Ith = 100 A)</t>
  </si>
  <si>
    <t>Entradas de tensión de 115 V / Entradas de corriente de 1 A; plena escala 40 A (Ith = 100 A)</t>
  </si>
  <si>
    <t xml:space="preserve">Added option of analog input boards with 40xIn measurement range </t>
  </si>
  <si>
    <t>Voltage inputs 115 V / Current inputs 5 A; full-scale 200 A (Ith = 200 A)</t>
  </si>
  <si>
    <t>Entradas de tensão de 115 V / Entradas de corrente de 5 A; fundo de escala 200 A (Ith = 200 A)</t>
  </si>
  <si>
    <t>Entradas de tensión de 115 V / Entradas de corriente de 5 A; plena escala 200 A (Ith = 200 A)</t>
  </si>
  <si>
    <t>F</t>
  </si>
  <si>
    <t>Voltage inputs 115 V / Current inputs 1 A; full-scale 20 A (Ith = 40 A) (withdrawn)</t>
  </si>
  <si>
    <t>Entradas de tensão de 115 V / Entradas de corrente de 1 A; fundo de escala 20 A (Ith = 40 A) (descontinuada)</t>
  </si>
  <si>
    <t>Entradas de tensión de 115 V / Entradas de corriente de 1 A; plena escala 20 A (Ith = 40 A) (withdrawn)</t>
  </si>
  <si>
    <t>Voltage inputs 115 V / Current inputs 5 A; full-scale 14 A (Ith = 32 A) (withdrawn)</t>
  </si>
  <si>
    <t>Entradas de tensão de 115 V / Entradas de corrente de 5 A; fundo de escala 14 A (Ith = 32 A) (descontinuada)</t>
  </si>
  <si>
    <t>Entradas de tensión de 115 V / Entradas de corriente de 5 A; plena escala 14 A (Ith = 32 A) (withdrawn)</t>
  </si>
  <si>
    <t>The boards and accessories can be ordered separetely from the product using the respective ordering  codes below</t>
  </si>
  <si>
    <t>Boards &amp; Accessories</t>
  </si>
  <si>
    <t>Ordering Code</t>
  </si>
  <si>
    <t>Board code in the CORTEC</t>
  </si>
  <si>
    <t>RA-AI-2</t>
  </si>
  <si>
    <t>Analog inputs board for RA331/332/333 with 4 analog inputs - 1 A / 115 V</t>
  </si>
  <si>
    <t>Analog inputs board for RA331/332/333 with 4 analog inputs - 5 A / 115 V</t>
  </si>
  <si>
    <t>RA-AI-6</t>
  </si>
  <si>
    <t>RA-AI-D</t>
  </si>
  <si>
    <t>Analog inputs board for RA331/332/333 with 4 analog inputs - 0-20 mA / ± 10 V</t>
  </si>
  <si>
    <t>RA-AI-P</t>
  </si>
  <si>
    <t>Analog inputs board for RA331/332/333 with 4 analog inputs - 100 mA / 115 V</t>
  </si>
  <si>
    <t>RA-IO-1</t>
  </si>
  <si>
    <t>Digital inputs board for RA331/332/333 with 16 digital inputs - 24 / 48 V</t>
  </si>
  <si>
    <t>RA-IO-2</t>
  </si>
  <si>
    <t>Digital inputs board for RA331/332/333 with 16 digital inputs - 125 V</t>
  </si>
  <si>
    <t>RA-IO-3</t>
  </si>
  <si>
    <t>Digital inputs board for RA331/332/333 with 16 digital inputs - 250 V</t>
  </si>
  <si>
    <t>Q062</t>
  </si>
  <si>
    <t>Mounting Panel for installation of one/two RA331/332/333/MU320 in 19-inch rack</t>
  </si>
  <si>
    <t>--</t>
  </si>
  <si>
    <t>Analog Inputs Option 1 – Voltage inputs 115V/Current Inputs 1 A; full-scale 20 A discontinued and replaced by Analog Inputs Option 2 – Voltage inputs 115V/Current Inputs 1 A; full-scale 40 A. And Analog Inputs Option T – Voltage inputs 115V/Current Inputs 5 A; full-scale 14 A discontinued and replaced by Analog Inputs Option 6 – Voltage inputs 115V/Current Inputs 5 A; full-scale 200 A.</t>
  </si>
  <si>
    <t>G</t>
  </si>
  <si>
    <t>Voltage inputs 115 V / Current inputs 5 A; full-scale 100 A (Ith = 200 A) (withdrawn)</t>
  </si>
  <si>
    <t>Entradas de tensão de 115 V / Entradas de corrente de 5 A; fundo de escala 100 A (Ith = 200 A) (descontinuada)</t>
  </si>
  <si>
    <t>Entradas de tensión de 115 V / Entradas de corriente de 5 A; plena escala 100 A (Ith = 200 A) (withdrawn)</t>
  </si>
  <si>
    <t>Analog Inputs Option 5 – Voltage inputs 115 V / Current inputs 5 A; full-scale 100 A withdrawn as per GE Publication GER-4844 and GER-4861</t>
  </si>
  <si>
    <t>Entradas analógicas opção 5 – Entradas de tensão de 115 V / Entradas de corrente de 5 A; fundo de escala 100 A descontinuada como descrito na publicação GE GER-4844 e GER-4861</t>
  </si>
  <si>
    <t>Entradas analogicas opción 5 - Entradas de tensión de 115 V / Entradas de corriente de 5 A; plena escala 100 A (Ith = 200 A) descontinuada como se describe en la publicación GE GER-4844 y GER-4861</t>
  </si>
  <si>
    <t>24-48 Vdc (withdrawn)</t>
  </si>
  <si>
    <t>24-48 Vcc (descontinuado)</t>
  </si>
  <si>
    <t>24-48 Vcc (withdrawn)</t>
  </si>
  <si>
    <t>H</t>
  </si>
  <si>
    <t>Withdraw Low Voltage Power Supply by CID006764 - 12/15/2021, plese refer to End-of-manufacturing notice GER-4900</t>
  </si>
  <si>
    <t>Fonte de baixa tensão descontinuada pelo CID006764 - 12/15/2021, referenciado pela nota de descontinuação GER-4900</t>
  </si>
  <si>
    <t>Retire la fuente de alimentación de bajo voltaje antes del CID006764 - 15/12/2021, consulte el aviso de fin de fabricación GER-4900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</si>
</sst>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0"/>
      <color indexed="8"/>
      <name val="Arial"/>
      <family val="2"/>
    </font>
    <font>
      <sz val="10"/>
      <name val="Arial"/>
      <family val="2"/>
    </font>
    <font>
      <sz val="11"/>
      <name val="Arial"/>
      <family val="2"/>
    </font>
    <font>
      <sz val="9"/>
      <name val="Arial"/>
      <family val="2"/>
    </font>
    <font>
      <b/>
      <sz val="10"/>
      <name val="Arial"/>
      <family val="2"/>
    </font>
    <font>
      <sz val="10"/>
      <color indexed="9"/>
      <name val="Arial"/>
      <family val="2"/>
    </font>
    <font>
      <sz val="11"/>
      <color indexed="8"/>
      <name val="Arial"/>
      <family val="2"/>
    </font>
    <font>
      <sz val="9"/>
      <color indexed="8"/>
      <name val="Arial"/>
      <family val="2"/>
    </font>
    <font>
      <b/>
      <sz val="9"/>
      <color indexed="10"/>
      <name val="Arial"/>
      <family val="2"/>
    </font>
    <font>
      <b/>
      <sz val="9"/>
      <color indexed="8"/>
      <name val="Arial"/>
      <family val="2"/>
    </font>
    <font>
      <sz val="11"/>
      <color indexed="30"/>
      <name val="Arial"/>
      <family val="2"/>
    </font>
    <font>
      <b/>
      <sz val="14"/>
      <color indexed="10"/>
      <name val="Arial"/>
      <family val="2"/>
    </font>
    <font>
      <sz val="12"/>
      <color indexed="8"/>
      <name val="Arial"/>
      <family val="2"/>
    </font>
    <font>
      <b/>
      <sz val="14"/>
      <color indexed="8"/>
      <name val="Arial"/>
      <family val="2"/>
    </font>
    <font>
      <sz val="14"/>
      <color indexed="8"/>
      <name val="Arial"/>
      <family val="2"/>
    </font>
    <font>
      <b/>
      <sz val="11"/>
      <color indexed="8"/>
      <name val="Arial"/>
      <family val="2"/>
    </font>
    <font>
      <sz val="11"/>
      <color indexed="10"/>
      <name val="Arial"/>
      <family val="2"/>
    </font>
    <font>
      <b/>
      <sz val="12"/>
      <color indexed="10"/>
      <name val="Arial"/>
      <family val="2"/>
    </font>
    <font>
      <sz val="8"/>
      <name val="Calibri"/>
      <family val="2"/>
    </font>
    <font>
      <b/>
      <sz val="12"/>
      <color indexed="12"/>
      <name val="Arial"/>
      <family val="2"/>
    </font>
    <font>
      <strike/>
      <sz val="10"/>
      <name val="Arial"/>
      <family val="2"/>
    </font>
    <font>
      <b/>
      <sz val="11"/>
      <name val="Arial"/>
      <family val="2"/>
    </font>
    <font>
      <sz val="10"/>
      <name val="Arial"/>
      <family val="2"/>
    </font>
    <font>
      <sz val="11"/>
      <color rgb="FFFF0000"/>
      <name val="Arial"/>
      <family val="2"/>
    </font>
    <font>
      <sz val="9"/>
      <color theme="1"/>
      <name val="Arial"/>
      <family val="2"/>
    </font>
    <font>
      <b/>
      <sz val="9"/>
      <color theme="0"/>
      <name val="Arial"/>
      <family val="2"/>
    </font>
    <font>
      <b/>
      <sz val="16"/>
      <color rgb="FFFF0000"/>
      <name val="Arial"/>
      <family val="2"/>
    </font>
    <font>
      <sz val="11"/>
      <color theme="0"/>
      <name val="Calibri"/>
      <family val="2"/>
      <scheme val="minor"/>
    </font>
  </fonts>
  <fills count="14">
    <fill>
      <patternFill patternType="none"/>
    </fill>
    <fill>
      <patternFill patternType="gray125"/>
    </fill>
    <fill>
      <patternFill patternType="solid">
        <fgColor indexed="13"/>
        <bgColor indexed="64"/>
      </patternFill>
    </fill>
    <fill>
      <patternFill patternType="solid">
        <fgColor indexed="55"/>
        <bgColor indexed="64"/>
      </patternFill>
    </fill>
    <fill>
      <patternFill patternType="solid">
        <fgColor indexed="23"/>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rgb="FF969696"/>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FFFF00"/>
        <bgColor indexed="64"/>
      </patternFill>
    </fill>
    <fill>
      <patternFill patternType="solid">
        <fgColor theme="1"/>
        <bgColor indexed="64"/>
      </patternFill>
    </fill>
    <fill>
      <patternFill patternType="solid">
        <fgColor theme="1" tint="0.499984740745262"/>
        <bgColor indexed="64"/>
      </patternFill>
    </fill>
  </fills>
  <borders count="37">
    <border>
      <left/>
      <right/>
      <top/>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ck">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0" fontId="2" fillId="0" borderId="0"/>
    <xf numFmtId="0" fontId="2" fillId="0" borderId="0"/>
    <xf numFmtId="0" fontId="3" fillId="0" borderId="0"/>
  </cellStyleXfs>
  <cellXfs count="272">
    <xf numFmtId="0" fontId="0" fillId="0" borderId="0" xfId="0"/>
    <xf numFmtId="0" fontId="3" fillId="0" borderId="0" xfId="3"/>
    <xf numFmtId="0" fontId="7" fillId="0" borderId="0" xfId="0" applyFont="1"/>
    <xf numFmtId="0" fontId="8" fillId="0" borderId="0" xfId="0" applyFont="1"/>
    <xf numFmtId="0" fontId="10" fillId="0" borderId="3" xfId="0" applyFont="1" applyBorder="1"/>
    <xf numFmtId="0" fontId="8" fillId="0" borderId="4" xfId="0" applyFont="1" applyBorder="1" applyAlignment="1" applyProtection="1">
      <alignment horizontal="center" vertical="center"/>
      <protection locked="0"/>
    </xf>
    <xf numFmtId="0" fontId="8" fillId="0" borderId="1" xfId="0" applyFont="1" applyBorder="1" applyAlignment="1">
      <alignment horizontal="center" vertical="center"/>
    </xf>
    <xf numFmtId="0" fontId="4" fillId="0" borderId="6" xfId="0" applyNumberFormat="1" applyFont="1" applyBorder="1" applyAlignment="1">
      <alignment horizontal="center" vertical="center"/>
    </xf>
    <xf numFmtId="0" fontId="4" fillId="0" borderId="7" xfId="0" applyNumberFormat="1" applyFont="1" applyBorder="1" applyAlignment="1">
      <alignment horizontal="center" vertical="center"/>
    </xf>
    <xf numFmtId="0" fontId="8" fillId="0" borderId="0" xfId="0" applyFont="1" applyAlignment="1">
      <alignment horizontal="center"/>
    </xf>
    <xf numFmtId="0" fontId="8" fillId="0" borderId="6" xfId="0" applyFont="1" applyBorder="1" applyAlignment="1">
      <alignment horizontal="center" vertical="center"/>
    </xf>
    <xf numFmtId="0" fontId="8" fillId="0" borderId="6" xfId="0" applyFont="1" applyBorder="1" applyAlignment="1">
      <alignment horizontal="center"/>
    </xf>
    <xf numFmtId="0" fontId="8" fillId="0" borderId="7" xfId="0" applyFont="1" applyBorder="1" applyAlignment="1">
      <alignment horizontal="center"/>
    </xf>
    <xf numFmtId="0" fontId="8" fillId="0" borderId="2" xfId="0" applyFont="1" applyBorder="1" applyAlignment="1">
      <alignment horizontal="center"/>
    </xf>
    <xf numFmtId="0" fontId="8" fillId="0" borderId="1" xfId="0" applyFont="1" applyBorder="1" applyAlignment="1">
      <alignment horizontal="center"/>
    </xf>
    <xf numFmtId="0" fontId="8" fillId="0" borderId="0" xfId="0" applyFont="1" applyAlignment="1">
      <alignment horizontal="center" vertical="center"/>
    </xf>
    <xf numFmtId="0" fontId="8" fillId="0" borderId="5"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10" fillId="0" borderId="10" xfId="0" applyFont="1" applyBorder="1"/>
    <xf numFmtId="0" fontId="8" fillId="0" borderId="11" xfId="0" applyFont="1" applyBorder="1" applyAlignment="1">
      <alignment horizontal="center"/>
    </xf>
    <xf numFmtId="0" fontId="8" fillId="0" borderId="6" xfId="0" applyFont="1" applyBorder="1"/>
    <xf numFmtId="0" fontId="8" fillId="0" borderId="7" xfId="0" applyFont="1" applyBorder="1"/>
    <xf numFmtId="0" fontId="8" fillId="0" borderId="11" xfId="0" applyFont="1" applyBorder="1"/>
    <xf numFmtId="0" fontId="10" fillId="0" borderId="0" xfId="0" applyFont="1" applyBorder="1"/>
    <xf numFmtId="0" fontId="8" fillId="2" borderId="10" xfId="0" applyFont="1" applyFill="1" applyBorder="1" applyAlignment="1">
      <alignment horizontal="center"/>
    </xf>
    <xf numFmtId="0" fontId="8" fillId="0" borderId="12" xfId="0" applyFont="1" applyBorder="1" applyAlignment="1">
      <alignment horizontal="center"/>
    </xf>
    <xf numFmtId="0" fontId="8" fillId="2" borderId="6" xfId="0" applyFont="1" applyFill="1" applyBorder="1" applyAlignment="1">
      <alignment horizontal="center"/>
    </xf>
    <xf numFmtId="0" fontId="8" fillId="0" borderId="5" xfId="0" applyFont="1" applyBorder="1"/>
    <xf numFmtId="0" fontId="8" fillId="0" borderId="8" xfId="0" applyFont="1" applyBorder="1"/>
    <xf numFmtId="0" fontId="9" fillId="0" borderId="0" xfId="0" applyFont="1"/>
    <xf numFmtId="14" fontId="9" fillId="0" borderId="3" xfId="0" applyNumberFormat="1" applyFont="1" applyBorder="1" applyAlignment="1">
      <alignment horizontal="left"/>
    </xf>
    <xf numFmtId="0" fontId="7" fillId="0" borderId="0" xfId="0" applyFont="1" applyAlignment="1">
      <alignment horizontal="center" vertical="center"/>
    </xf>
    <xf numFmtId="0" fontId="12" fillId="0" borderId="10" xfId="0" applyFont="1" applyBorder="1" applyAlignment="1">
      <alignment horizontal="center" vertical="center"/>
    </xf>
    <xf numFmtId="0" fontId="7" fillId="3" borderId="1" xfId="0" applyFont="1" applyFill="1" applyBorder="1" applyAlignment="1">
      <alignment horizontal="center" vertical="center"/>
    </xf>
    <xf numFmtId="0" fontId="7" fillId="4" borderId="1" xfId="0" applyFont="1" applyFill="1" applyBorder="1" applyAlignment="1">
      <alignment horizontal="center" vertical="center"/>
    </xf>
    <xf numFmtId="0" fontId="7" fillId="5" borderId="1" xfId="0" applyFont="1" applyFill="1" applyBorder="1" applyAlignment="1">
      <alignment horizontal="center" vertical="center"/>
    </xf>
    <xf numFmtId="0" fontId="7" fillId="4" borderId="0"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5" xfId="0" applyFont="1" applyFill="1" applyBorder="1" applyAlignment="1">
      <alignment horizontal="center" vertical="center"/>
    </xf>
    <xf numFmtId="0" fontId="13" fillId="0" borderId="0" xfId="0" applyFont="1"/>
    <xf numFmtId="0" fontId="7" fillId="0" borderId="13" xfId="0" applyFont="1" applyBorder="1"/>
    <xf numFmtId="0" fontId="15" fillId="0" borderId="13" xfId="0" applyFont="1" applyBorder="1"/>
    <xf numFmtId="0" fontId="15" fillId="0" borderId="4" xfId="0" applyFont="1" applyBorder="1"/>
    <xf numFmtId="0" fontId="7" fillId="3" borderId="14" xfId="0" applyFont="1" applyFill="1" applyBorder="1" applyAlignment="1">
      <alignment horizontal="center" vertical="center"/>
    </xf>
    <xf numFmtId="0" fontId="7" fillId="3" borderId="12" xfId="0" applyFont="1" applyFill="1" applyBorder="1" applyAlignment="1">
      <alignment horizontal="center" vertical="center"/>
    </xf>
    <xf numFmtId="0" fontId="16" fillId="0" borderId="8" xfId="0" applyFont="1" applyBorder="1"/>
    <xf numFmtId="0" fontId="7" fillId="0" borderId="0" xfId="0" applyFont="1" applyBorder="1"/>
    <xf numFmtId="0" fontId="17" fillId="0" borderId="8" xfId="0" applyFont="1" applyBorder="1"/>
    <xf numFmtId="0" fontId="18" fillId="0" borderId="15" xfId="0" applyFont="1" applyBorder="1"/>
    <xf numFmtId="0" fontId="18" fillId="0" borderId="13" xfId="0" applyFont="1" applyBorder="1"/>
    <xf numFmtId="0" fontId="2" fillId="0" borderId="16" xfId="2" applyBorder="1"/>
    <xf numFmtId="0" fontId="2" fillId="0" borderId="0" xfId="2" applyBorder="1"/>
    <xf numFmtId="0" fontId="2" fillId="0" borderId="16" xfId="2" applyBorder="1" applyAlignment="1">
      <alignment horizontal="center"/>
    </xf>
    <xf numFmtId="0" fontId="7" fillId="0" borderId="17" xfId="0" applyFont="1" applyBorder="1"/>
    <xf numFmtId="0" fontId="7" fillId="0" borderId="18" xfId="0" applyFont="1" applyBorder="1"/>
    <xf numFmtId="0" fontId="7" fillId="0" borderId="19" xfId="0" applyFont="1" applyBorder="1"/>
    <xf numFmtId="0" fontId="7" fillId="0" borderId="20" xfId="0" applyFont="1" applyBorder="1"/>
    <xf numFmtId="16" fontId="7" fillId="0" borderId="17" xfId="0" applyNumberFormat="1" applyFont="1" applyBorder="1"/>
    <xf numFmtId="0" fontId="20" fillId="0" borderId="21" xfId="0" applyFont="1" applyBorder="1"/>
    <xf numFmtId="0" fontId="8" fillId="0" borderId="10" xfId="0" quotePrefix="1" applyFont="1" applyBorder="1" applyAlignment="1">
      <alignment horizontal="center"/>
    </xf>
    <xf numFmtId="0" fontId="1" fillId="0" borderId="10" xfId="0" applyFont="1" applyBorder="1" applyAlignment="1">
      <alignment horizontal="center"/>
    </xf>
    <xf numFmtId="0" fontId="2" fillId="0" borderId="0" xfId="2" applyBorder="1" applyAlignment="1">
      <alignment horizontal="center"/>
    </xf>
    <xf numFmtId="0" fontId="2" fillId="0" borderId="0" xfId="2"/>
    <xf numFmtId="0" fontId="6" fillId="6" borderId="5" xfId="2" applyFont="1" applyFill="1" applyBorder="1"/>
    <xf numFmtId="0" fontId="2" fillId="6" borderId="2" xfId="2" applyFill="1" applyBorder="1" applyAlignment="1">
      <alignment horizontal="center"/>
    </xf>
    <xf numFmtId="0" fontId="2" fillId="0" borderId="3" xfId="2" applyFont="1" applyBorder="1"/>
    <xf numFmtId="0" fontId="2" fillId="0" borderId="10" xfId="2" quotePrefix="1" applyFont="1" applyBorder="1" applyAlignment="1">
      <alignment horizontal="center"/>
    </xf>
    <xf numFmtId="0" fontId="2" fillId="0" borderId="10" xfId="2" applyBorder="1" applyAlignment="1">
      <alignment horizontal="center"/>
    </xf>
    <xf numFmtId="0" fontId="2" fillId="0" borderId="10" xfId="2" quotePrefix="1" applyBorder="1" applyAlignment="1">
      <alignment horizontal="center"/>
    </xf>
    <xf numFmtId="0" fontId="5" fillId="0" borderId="8" xfId="2" applyFont="1" applyBorder="1"/>
    <xf numFmtId="0" fontId="2" fillId="5" borderId="0" xfId="2" applyFill="1" applyBorder="1" applyAlignment="1">
      <alignment horizontal="center"/>
    </xf>
    <xf numFmtId="0" fontId="2" fillId="3" borderId="0" xfId="2" applyFill="1" applyBorder="1" applyAlignment="1">
      <alignment horizontal="center"/>
    </xf>
    <xf numFmtId="0" fontId="2" fillId="4" borderId="0" xfId="2" applyFill="1" applyBorder="1" applyAlignment="1">
      <alignment horizontal="center"/>
    </xf>
    <xf numFmtId="0" fontId="2" fillId="8" borderId="0" xfId="2" applyFill="1" applyBorder="1" applyAlignment="1">
      <alignment horizontal="center"/>
    </xf>
    <xf numFmtId="0" fontId="2" fillId="9" borderId="0" xfId="2" applyFill="1" applyBorder="1" applyAlignment="1">
      <alignment horizontal="center"/>
    </xf>
    <xf numFmtId="0" fontId="2" fillId="10" borderId="0" xfId="2" applyFill="1" applyBorder="1" applyAlignment="1">
      <alignment horizontal="center"/>
    </xf>
    <xf numFmtId="0" fontId="2" fillId="0" borderId="8" xfId="2" applyFont="1" applyBorder="1"/>
    <xf numFmtId="0" fontId="2" fillId="0" borderId="0" xfId="2" applyFont="1" applyBorder="1"/>
    <xf numFmtId="0" fontId="2" fillId="0" borderId="0" xfId="2" applyFont="1"/>
    <xf numFmtId="0" fontId="2" fillId="0" borderId="9" xfId="2" applyFont="1" applyBorder="1"/>
    <xf numFmtId="0" fontId="2" fillId="0" borderId="14" xfId="2" applyFont="1" applyBorder="1"/>
    <xf numFmtId="0" fontId="2" fillId="0" borderId="14" xfId="2" applyFont="1" applyBorder="1" applyAlignment="1">
      <alignment horizontal="center"/>
    </xf>
    <xf numFmtId="0" fontId="2" fillId="0" borderId="0" xfId="2" applyFont="1" applyBorder="1" applyAlignment="1">
      <alignment horizontal="center"/>
    </xf>
    <xf numFmtId="0" fontId="2" fillId="0" borderId="10" xfId="2" applyFont="1" applyFill="1" applyBorder="1" applyAlignment="1">
      <alignment horizontal="center"/>
    </xf>
    <xf numFmtId="0" fontId="2" fillId="0" borderId="14" xfId="2" applyFont="1" applyFill="1" applyBorder="1" applyAlignment="1">
      <alignment horizontal="center"/>
    </xf>
    <xf numFmtId="0" fontId="2" fillId="0" borderId="0" xfId="2" applyFont="1" applyFill="1" applyBorder="1" applyAlignment="1">
      <alignment horizontal="center"/>
    </xf>
    <xf numFmtId="0" fontId="21" fillId="0" borderId="0" xfId="2" applyFont="1" applyBorder="1"/>
    <xf numFmtId="0" fontId="21" fillId="0" borderId="0" xfId="2" applyFont="1" applyBorder="1" applyAlignment="1">
      <alignment horizontal="center"/>
    </xf>
    <xf numFmtId="0" fontId="21" fillId="0" borderId="0" xfId="2" applyFont="1" applyFill="1" applyBorder="1" applyAlignment="1">
      <alignment horizontal="center"/>
    </xf>
    <xf numFmtId="0" fontId="21" fillId="8" borderId="0" xfId="2" applyFont="1" applyFill="1" applyBorder="1" applyAlignment="1">
      <alignment horizontal="center"/>
    </xf>
    <xf numFmtId="0" fontId="21" fillId="9" borderId="0" xfId="2" applyFont="1" applyFill="1" applyBorder="1" applyAlignment="1">
      <alignment horizontal="center"/>
    </xf>
    <xf numFmtId="0" fontId="21" fillId="10" borderId="0" xfId="2" applyFont="1" applyFill="1" applyBorder="1" applyAlignment="1">
      <alignment horizontal="center"/>
    </xf>
    <xf numFmtId="0" fontId="2" fillId="0" borderId="0" xfId="2" applyAlignment="1">
      <alignment horizontal="center"/>
    </xf>
    <xf numFmtId="0" fontId="9" fillId="0" borderId="0" xfId="0" applyFont="1" applyAlignment="1">
      <alignment horizontal="center"/>
    </xf>
    <xf numFmtId="0" fontId="10" fillId="0" borderId="0" xfId="0" applyFont="1" applyBorder="1" applyAlignment="1">
      <alignment horizontal="center"/>
    </xf>
    <xf numFmtId="0" fontId="10" fillId="2" borderId="10" xfId="0" applyFont="1" applyFill="1" applyBorder="1" applyAlignment="1">
      <alignment horizontal="center"/>
    </xf>
    <xf numFmtId="0" fontId="10" fillId="2" borderId="6" xfId="0" applyFont="1" applyFill="1" applyBorder="1" applyAlignment="1">
      <alignment horizontal="center"/>
    </xf>
    <xf numFmtId="0" fontId="8" fillId="0" borderId="9" xfId="0" applyFont="1" applyBorder="1"/>
    <xf numFmtId="0" fontId="14" fillId="0" borderId="22" xfId="0" applyFont="1" applyBorder="1"/>
    <xf numFmtId="0" fontId="7" fillId="0" borderId="23" xfId="0" applyFont="1" applyBorder="1"/>
    <xf numFmtId="0" fontId="7" fillId="0" borderId="23" xfId="0" applyFont="1" applyBorder="1" applyAlignment="1">
      <alignment horizontal="center" vertical="center"/>
    </xf>
    <xf numFmtId="0" fontId="7" fillId="0" borderId="24" xfId="0" applyFont="1" applyBorder="1"/>
    <xf numFmtId="0" fontId="7" fillId="0" borderId="25" xfId="0" applyFont="1" applyBorder="1"/>
    <xf numFmtId="0" fontId="13" fillId="0" borderId="25" xfId="0" applyFont="1" applyBorder="1"/>
    <xf numFmtId="0" fontId="13" fillId="0" borderId="18" xfId="0" applyFont="1" applyBorder="1"/>
    <xf numFmtId="0" fontId="7" fillId="0" borderId="16" xfId="0" applyFont="1" applyBorder="1"/>
    <xf numFmtId="0" fontId="11" fillId="0" borderId="0" xfId="0" applyFont="1" applyBorder="1"/>
    <xf numFmtId="0" fontId="7" fillId="3" borderId="0" xfId="0" applyFont="1" applyFill="1" applyBorder="1" applyAlignment="1">
      <alignment horizontal="center" vertical="center"/>
    </xf>
    <xf numFmtId="0" fontId="7" fillId="5" borderId="0" xfId="0" applyFont="1" applyFill="1" applyBorder="1" applyAlignment="1">
      <alignment horizontal="center" vertical="center"/>
    </xf>
    <xf numFmtId="0" fontId="7" fillId="0" borderId="26" xfId="0" applyFont="1" applyBorder="1"/>
    <xf numFmtId="0" fontId="7" fillId="0" borderId="19" xfId="0" applyFont="1" applyBorder="1" applyAlignment="1">
      <alignment horizontal="center" vertical="center"/>
    </xf>
    <xf numFmtId="0" fontId="20" fillId="0" borderId="16" xfId="0" applyFont="1" applyBorder="1" applyAlignment="1">
      <alignment vertical="center"/>
    </xf>
    <xf numFmtId="0" fontId="20" fillId="0" borderId="21" xfId="0" applyFont="1" applyBorder="1" applyAlignment="1">
      <alignment vertical="center"/>
    </xf>
    <xf numFmtId="0" fontId="7" fillId="0" borderId="0" xfId="0" applyFont="1" applyBorder="1" applyAlignment="1">
      <alignment vertical="center"/>
    </xf>
    <xf numFmtId="0" fontId="24" fillId="0" borderId="8" xfId="0" applyFont="1" applyBorder="1"/>
    <xf numFmtId="0" fontId="22" fillId="0" borderId="8" xfId="0" applyFont="1" applyBorder="1"/>
    <xf numFmtId="0" fontId="23" fillId="0" borderId="5" xfId="2" applyFont="1" applyBorder="1"/>
    <xf numFmtId="0" fontId="23" fillId="0" borderId="3" xfId="2" applyFont="1" applyBorder="1"/>
    <xf numFmtId="0" fontId="23" fillId="0" borderId="3" xfId="2" applyFont="1" applyBorder="1" applyAlignment="1">
      <alignment horizontal="right"/>
    </xf>
    <xf numFmtId="0" fontId="23" fillId="0" borderId="10" xfId="2" applyFont="1" applyFill="1" applyBorder="1" applyAlignment="1">
      <alignment horizontal="center"/>
    </xf>
    <xf numFmtId="0" fontId="2" fillId="0" borderId="13" xfId="2" applyBorder="1" applyAlignment="1">
      <alignment horizontal="center"/>
    </xf>
    <xf numFmtId="0" fontId="2" fillId="0" borderId="14" xfId="2" applyBorder="1" applyAlignment="1">
      <alignment horizontal="center"/>
    </xf>
    <xf numFmtId="0" fontId="25" fillId="0" borderId="0" xfId="0" applyFont="1" applyAlignment="1">
      <alignment horizontal="center" vertical="center"/>
    </xf>
    <xf numFmtId="0" fontId="25" fillId="0" borderId="0" xfId="0" applyFont="1"/>
    <xf numFmtId="0" fontId="25" fillId="0" borderId="0" xfId="0" applyFont="1" applyAlignment="1">
      <alignment horizontal="center"/>
    </xf>
    <xf numFmtId="0" fontId="25" fillId="0" borderId="0" xfId="0" applyFont="1" applyAlignment="1">
      <alignment wrapText="1"/>
    </xf>
    <xf numFmtId="0" fontId="25" fillId="11" borderId="10" xfId="0" applyFont="1" applyFill="1" applyBorder="1" applyAlignment="1">
      <alignment horizontal="center" vertical="center"/>
    </xf>
    <xf numFmtId="0" fontId="25" fillId="11" borderId="13" xfId="0" applyFont="1" applyFill="1" applyBorder="1"/>
    <xf numFmtId="0" fontId="25" fillId="11" borderId="10" xfId="0" applyFont="1" applyFill="1" applyBorder="1" applyAlignment="1">
      <alignment horizontal="center"/>
    </xf>
    <xf numFmtId="0" fontId="25" fillId="0" borderId="0" xfId="0" applyFont="1" applyBorder="1"/>
    <xf numFmtId="0" fontId="25" fillId="0" borderId="7" xfId="0" applyFont="1" applyBorder="1" applyAlignment="1">
      <alignment horizontal="center" vertical="center"/>
    </xf>
    <xf numFmtId="0" fontId="25" fillId="0" borderId="7" xfId="0" applyFont="1" applyBorder="1" applyAlignment="1">
      <alignment horizontal="center"/>
    </xf>
    <xf numFmtId="0" fontId="25" fillId="0" borderId="11" xfId="0" applyFont="1" applyBorder="1" applyAlignment="1">
      <alignment horizontal="center" vertical="center"/>
    </xf>
    <xf numFmtId="0" fontId="25" fillId="0" borderId="14" xfId="0" applyFont="1" applyBorder="1"/>
    <xf numFmtId="0" fontId="25" fillId="0" borderId="11" xfId="0" applyFont="1" applyBorder="1" applyAlignment="1">
      <alignment horizontal="center"/>
    </xf>
    <xf numFmtId="0" fontId="0" fillId="0" borderId="0" xfId="0" applyAlignment="1">
      <alignment wrapText="1"/>
    </xf>
    <xf numFmtId="0" fontId="25" fillId="0" borderId="0" xfId="0" applyFont="1" applyAlignment="1">
      <alignment vertical="center" wrapText="1"/>
    </xf>
    <xf numFmtId="0" fontId="3" fillId="0" borderId="16" xfId="3" applyBorder="1"/>
    <xf numFmtId="0" fontId="3" fillId="0" borderId="0" xfId="3" applyBorder="1"/>
    <xf numFmtId="0" fontId="3" fillId="0" borderId="18" xfId="3" applyBorder="1"/>
    <xf numFmtId="0" fontId="3" fillId="0" borderId="26" xfId="3" applyBorder="1"/>
    <xf numFmtId="0" fontId="3" fillId="0" borderId="19" xfId="3" applyBorder="1"/>
    <xf numFmtId="0" fontId="3" fillId="0" borderId="20" xfId="3" applyBorder="1"/>
    <xf numFmtId="0" fontId="2" fillId="6" borderId="4" xfId="2" applyFill="1" applyBorder="1" applyAlignment="1"/>
    <xf numFmtId="0" fontId="8" fillId="0" borderId="15" xfId="0" applyFont="1" applyBorder="1" applyAlignment="1">
      <alignment horizontal="center"/>
    </xf>
    <xf numFmtId="0" fontId="8" fillId="0" borderId="4" xfId="0" applyFont="1" applyBorder="1" applyAlignment="1">
      <alignment horizontal="right"/>
    </xf>
    <xf numFmtId="14" fontId="9" fillId="0" borderId="4" xfId="0" applyNumberFormat="1" applyFont="1" applyBorder="1" applyAlignment="1">
      <alignment horizontal="centerContinuous" vertical="center"/>
    </xf>
    <xf numFmtId="14" fontId="9" fillId="0" borderId="7" xfId="0" applyNumberFormat="1" applyFont="1" applyBorder="1" applyAlignment="1">
      <alignment horizontal="center" vertical="center"/>
    </xf>
    <xf numFmtId="14" fontId="8" fillId="0" borderId="10" xfId="0" applyNumberFormat="1" applyFont="1" applyBorder="1" applyAlignment="1">
      <alignment horizontal="centerContinuous" vertical="center"/>
    </xf>
    <xf numFmtId="14" fontId="8" fillId="0" borderId="4" xfId="0" applyNumberFormat="1" applyFont="1" applyBorder="1" applyAlignment="1">
      <alignment horizontal="centerContinuous" vertical="center"/>
    </xf>
    <xf numFmtId="14" fontId="8" fillId="0" borderId="7" xfId="0" applyNumberFormat="1" applyFont="1" applyBorder="1" applyAlignment="1">
      <alignment horizontal="center" vertical="center"/>
    </xf>
    <xf numFmtId="0" fontId="26" fillId="12" borderId="9" xfId="0" applyFont="1" applyFill="1" applyBorder="1" applyAlignment="1">
      <alignment horizontal="center"/>
    </xf>
    <xf numFmtId="0" fontId="26" fillId="12" borderId="11" xfId="0" applyFont="1" applyFill="1" applyBorder="1" applyAlignment="1">
      <alignment horizontal="center"/>
    </xf>
    <xf numFmtId="14" fontId="26" fillId="12" borderId="1" xfId="0" applyNumberFormat="1" applyFont="1" applyFill="1" applyBorder="1" applyAlignment="1">
      <alignment horizontal="center" vertical="center"/>
    </xf>
    <xf numFmtId="14" fontId="26" fillId="12" borderId="0" xfId="0" applyNumberFormat="1" applyFont="1" applyFill="1" applyBorder="1" applyAlignment="1">
      <alignment horizontal="center" vertical="center"/>
    </xf>
    <xf numFmtId="0" fontId="8" fillId="0" borderId="10" xfId="0" applyFont="1" applyBorder="1" applyAlignment="1">
      <alignment horizontal="center"/>
    </xf>
    <xf numFmtId="0" fontId="8" fillId="13" borderId="4" xfId="0" applyFont="1" applyFill="1" applyBorder="1" applyAlignment="1" applyProtection="1">
      <alignment horizontal="center" vertical="center"/>
      <protection locked="0"/>
    </xf>
    <xf numFmtId="0" fontId="8" fillId="13" borderId="13" xfId="0" applyFont="1" applyFill="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10" xfId="0" applyFont="1" applyBorder="1"/>
    <xf numFmtId="0" fontId="8" fillId="0" borderId="10"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4" fillId="0" borderId="5" xfId="0" applyNumberFormat="1" applyFont="1" applyBorder="1" applyAlignment="1">
      <alignment horizontal="center" vertical="center"/>
    </xf>
    <xf numFmtId="0" fontId="4" fillId="0" borderId="8" xfId="0" applyNumberFormat="1"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xf>
    <xf numFmtId="0" fontId="8" fillId="0" borderId="2" xfId="0" quotePrefix="1" applyFont="1" applyBorder="1" applyAlignment="1">
      <alignment horizontal="center"/>
    </xf>
    <xf numFmtId="0" fontId="8" fillId="0" borderId="11" xfId="0" applyFont="1" applyBorder="1" applyAlignment="1">
      <alignment horizontal="center" vertical="center"/>
    </xf>
    <xf numFmtId="0" fontId="8" fillId="0" borderId="14" xfId="0" applyFont="1" applyBorder="1"/>
    <xf numFmtId="0" fontId="8" fillId="0" borderId="12" xfId="0" applyFont="1" applyBorder="1" applyAlignment="1">
      <alignment horizontal="center" vertical="center"/>
    </xf>
    <xf numFmtId="14" fontId="26" fillId="12" borderId="6" xfId="0" applyNumberFormat="1" applyFont="1" applyFill="1" applyBorder="1" applyAlignment="1">
      <alignment horizontal="center" vertical="center"/>
    </xf>
    <xf numFmtId="0" fontId="8" fillId="13" borderId="10" xfId="0" applyFont="1" applyFill="1" applyBorder="1" applyAlignment="1" applyProtection="1">
      <alignment horizontal="center" vertical="center"/>
      <protection locked="0"/>
    </xf>
    <xf numFmtId="0" fontId="9" fillId="0" borderId="0" xfId="0" applyFont="1" applyAlignment="1">
      <alignment horizontal="right"/>
    </xf>
    <xf numFmtId="0" fontId="25" fillId="0" borderId="10" xfId="0" applyFont="1" applyBorder="1" applyAlignment="1">
      <alignment horizontal="left"/>
    </xf>
    <xf numFmtId="0" fontId="25" fillId="0" borderId="10" xfId="0" applyFont="1" applyBorder="1"/>
    <xf numFmtId="14" fontId="9" fillId="0" borderId="0" xfId="0" applyNumberFormat="1" applyFont="1" applyBorder="1" applyAlignment="1">
      <alignment horizontal="left"/>
    </xf>
    <xf numFmtId="0" fontId="9" fillId="0" borderId="0" xfId="0" applyFont="1" applyBorder="1" applyAlignment="1">
      <alignment horizontal="right"/>
    </xf>
    <xf numFmtId="0" fontId="9" fillId="0" borderId="0" xfId="0" applyFont="1" applyBorder="1" applyAlignment="1">
      <alignment horizontal="center"/>
    </xf>
    <xf numFmtId="0" fontId="10" fillId="0" borderId="10" xfId="0" applyFont="1" applyBorder="1" applyAlignment="1">
      <alignment horizontal="center"/>
    </xf>
    <xf numFmtId="0" fontId="8" fillId="2" borderId="10" xfId="0" applyFont="1" applyFill="1" applyBorder="1" applyAlignment="1">
      <alignment horizontal="center" vertical="center"/>
    </xf>
    <xf numFmtId="0" fontId="8" fillId="2" borderId="6" xfId="0" applyFont="1" applyFill="1" applyBorder="1" applyAlignment="1">
      <alignment horizontal="center" vertical="center"/>
    </xf>
    <xf numFmtId="0" fontId="8" fillId="0" borderId="2" xfId="0" applyFont="1" applyBorder="1"/>
    <xf numFmtId="0" fontId="8" fillId="0" borderId="1" xfId="0" applyFont="1" applyBorder="1"/>
    <xf numFmtId="0" fontId="8" fillId="0" borderId="12" xfId="0" applyFont="1" applyBorder="1"/>
    <xf numFmtId="0" fontId="8" fillId="0" borderId="15" xfId="0" applyFont="1" applyBorder="1"/>
    <xf numFmtId="0" fontId="25" fillId="0" borderId="0" xfId="0" applyFont="1" applyAlignment="1">
      <alignment horizontal="left" vertical="center" wrapText="1"/>
    </xf>
    <xf numFmtId="0" fontId="5" fillId="0" borderId="10" xfId="2" applyFont="1" applyBorder="1" applyAlignment="1">
      <alignment horizontal="center" vertical="center"/>
    </xf>
    <xf numFmtId="14" fontId="2" fillId="0" borderId="13" xfId="2" applyNumberFormat="1" applyFont="1" applyBorder="1" applyAlignment="1">
      <alignment vertical="center"/>
    </xf>
    <xf numFmtId="14" fontId="2" fillId="0" borderId="8" xfId="2" applyNumberFormat="1" applyFont="1" applyBorder="1"/>
    <xf numFmtId="0" fontId="23" fillId="0" borderId="10" xfId="2" applyFont="1" applyBorder="1" applyAlignment="1">
      <alignment horizontal="center"/>
    </xf>
    <xf numFmtId="0" fontId="2" fillId="0" borderId="12" xfId="2" applyBorder="1" applyAlignment="1">
      <alignment horizontal="center"/>
    </xf>
    <xf numFmtId="0" fontId="2" fillId="10" borderId="1" xfId="2" applyFill="1" applyBorder="1" applyAlignment="1">
      <alignment horizontal="center"/>
    </xf>
    <xf numFmtId="4" fontId="10" fillId="0" borderId="35" xfId="0" applyNumberFormat="1" applyFont="1" applyBorder="1" applyAlignment="1">
      <alignment horizontal="center" vertical="center" wrapText="1"/>
    </xf>
    <xf numFmtId="0" fontId="7" fillId="0" borderId="36" xfId="0" applyFont="1" applyBorder="1"/>
    <xf numFmtId="4" fontId="10" fillId="0" borderId="23" xfId="0" applyNumberFormat="1" applyFont="1" applyBorder="1" applyAlignment="1">
      <alignment horizontal="center" vertical="center" wrapText="1"/>
    </xf>
    <xf numFmtId="4" fontId="8" fillId="0" borderId="16" xfId="0" applyNumberFormat="1" applyFont="1" applyBorder="1" applyAlignment="1">
      <alignment vertical="center"/>
    </xf>
    <xf numFmtId="4" fontId="8" fillId="0" borderId="0" xfId="0" applyNumberFormat="1" applyFont="1" applyBorder="1" applyAlignment="1">
      <alignment vertical="center"/>
    </xf>
    <xf numFmtId="0" fontId="27" fillId="0" borderId="0" xfId="0" applyFont="1" applyAlignment="1">
      <alignment vertical="center"/>
    </xf>
    <xf numFmtId="4" fontId="8" fillId="0" borderId="19" xfId="0" applyNumberFormat="1" applyFont="1" applyBorder="1" applyAlignment="1">
      <alignment vertical="center"/>
    </xf>
    <xf numFmtId="4" fontId="7" fillId="0" borderId="0" xfId="0" applyNumberFormat="1" applyFont="1" applyAlignment="1">
      <alignment vertical="center"/>
    </xf>
    <xf numFmtId="0" fontId="7" fillId="5" borderId="10" xfId="0" applyFont="1" applyFill="1" applyBorder="1" applyAlignment="1">
      <alignment horizontal="center" vertical="center"/>
    </xf>
    <xf numFmtId="0" fontId="7" fillId="3" borderId="2"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12" xfId="0" applyFont="1" applyFill="1" applyBorder="1" applyAlignment="1">
      <alignment horizontal="center" vertical="center"/>
    </xf>
    <xf numFmtId="0" fontId="7" fillId="5" borderId="2" xfId="0" applyFont="1" applyFill="1" applyBorder="1" applyAlignment="1">
      <alignment horizontal="center" vertical="center"/>
    </xf>
    <xf numFmtId="0" fontId="7" fillId="5" borderId="8" xfId="0" applyFont="1" applyFill="1" applyBorder="1" applyAlignment="1">
      <alignment horizontal="center" vertical="center"/>
    </xf>
    <xf numFmtId="0" fontId="7" fillId="5" borderId="14" xfId="0" applyFont="1" applyFill="1" applyBorder="1" applyAlignment="1">
      <alignment horizontal="center" vertical="center"/>
    </xf>
    <xf numFmtId="0" fontId="7" fillId="5" borderId="12" xfId="0" applyFont="1" applyFill="1" applyBorder="1" applyAlignment="1">
      <alignment horizontal="center" vertical="center"/>
    </xf>
    <xf numFmtId="14" fontId="2" fillId="0" borderId="10" xfId="2" applyNumberFormat="1" applyFont="1" applyBorder="1" applyAlignment="1">
      <alignment horizontal="center"/>
    </xf>
    <xf numFmtId="14" fontId="14" fillId="0" borderId="10" xfId="0" applyNumberFormat="1" applyFont="1" applyBorder="1"/>
    <xf numFmtId="0" fontId="21" fillId="0" borderId="8" xfId="2" applyFont="1" applyBorder="1"/>
    <xf numFmtId="0" fontId="21" fillId="0" borderId="10" xfId="2" applyFont="1" applyFill="1" applyBorder="1" applyAlignment="1">
      <alignment horizontal="center"/>
    </xf>
    <xf numFmtId="0" fontId="8" fillId="0" borderId="4" xfId="0" applyFont="1" applyBorder="1" applyAlignment="1" applyProtection="1">
      <alignment horizontal="center" vertical="center"/>
      <protection locked="0"/>
    </xf>
    <xf numFmtId="0" fontId="8" fillId="0" borderId="1" xfId="0" applyFont="1" applyBorder="1" applyAlignment="1">
      <alignment horizontal="center" vertical="center"/>
    </xf>
    <xf numFmtId="0" fontId="4" fillId="0" borderId="6" xfId="0" applyNumberFormat="1" applyFont="1" applyBorder="1" applyAlignment="1">
      <alignment horizontal="center" vertical="center"/>
    </xf>
    <xf numFmtId="0" fontId="4" fillId="0" borderId="7" xfId="0" applyNumberFormat="1" applyFont="1" applyBorder="1" applyAlignment="1">
      <alignment horizontal="center" vertical="center"/>
    </xf>
    <xf numFmtId="0" fontId="8" fillId="0" borderId="6" xfId="0" applyFont="1" applyBorder="1" applyAlignment="1">
      <alignment horizontal="center" vertical="center"/>
    </xf>
    <xf numFmtId="0" fontId="8" fillId="0" borderId="6" xfId="0" applyFont="1" applyBorder="1" applyAlignment="1">
      <alignment horizontal="center"/>
    </xf>
    <xf numFmtId="0" fontId="8" fillId="0" borderId="7" xfId="0" applyFont="1" applyBorder="1" applyAlignment="1">
      <alignment horizontal="center"/>
    </xf>
    <xf numFmtId="0" fontId="8" fillId="0" borderId="2" xfId="0" applyFont="1" applyBorder="1" applyAlignment="1">
      <alignment horizontal="center"/>
    </xf>
    <xf numFmtId="0" fontId="8" fillId="0" borderId="1" xfId="0" applyFont="1" applyBorder="1" applyAlignment="1">
      <alignment horizontal="center"/>
    </xf>
    <xf numFmtId="0" fontId="8" fillId="0" borderId="11" xfId="0" applyFont="1" applyBorder="1" applyAlignment="1">
      <alignment horizontal="center"/>
    </xf>
    <xf numFmtId="14" fontId="9" fillId="0" borderId="4" xfId="0" applyNumberFormat="1" applyFont="1" applyBorder="1" applyAlignment="1">
      <alignment horizontal="centerContinuous" vertical="center"/>
    </xf>
    <xf numFmtId="14" fontId="8" fillId="0" borderId="10" xfId="0" applyNumberFormat="1" applyFont="1" applyBorder="1" applyAlignment="1">
      <alignment horizontal="centerContinuous" vertical="center"/>
    </xf>
    <xf numFmtId="14" fontId="8" fillId="0" borderId="4" xfId="0" applyNumberFormat="1" applyFont="1" applyBorder="1" applyAlignment="1">
      <alignment horizontal="centerContinuous" vertical="center"/>
    </xf>
    <xf numFmtId="14" fontId="26" fillId="12" borderId="1" xfId="0" applyNumberFormat="1" applyFont="1" applyFill="1" applyBorder="1" applyAlignment="1">
      <alignment horizontal="center" vertical="center"/>
    </xf>
    <xf numFmtId="0" fontId="8" fillId="13" borderId="4" xfId="0" applyFont="1" applyFill="1" applyBorder="1" applyAlignment="1" applyProtection="1">
      <alignment horizontal="center" vertical="center"/>
      <protection locked="0"/>
    </xf>
    <xf numFmtId="0" fontId="8" fillId="0" borderId="10"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2" xfId="0" quotePrefix="1" applyFont="1" applyBorder="1" applyAlignment="1">
      <alignment horizont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14" fontId="26" fillId="12" borderId="6" xfId="0" applyNumberFormat="1" applyFont="1" applyFill="1" applyBorder="1" applyAlignment="1">
      <alignment horizontal="center" vertical="center"/>
    </xf>
    <xf numFmtId="0" fontId="8" fillId="13" borderId="10" xfId="0" applyFont="1" applyFill="1" applyBorder="1" applyAlignment="1" applyProtection="1">
      <alignment horizontal="center" vertical="center"/>
      <protection locked="0"/>
    </xf>
    <xf numFmtId="0" fontId="25" fillId="0" borderId="0" xfId="0" applyFont="1" applyAlignment="1">
      <alignment vertical="center"/>
    </xf>
    <xf numFmtId="0" fontId="25" fillId="0" borderId="0" xfId="0" applyFont="1" applyAlignment="1">
      <alignment wrapText="1"/>
    </xf>
    <xf numFmtId="0" fontId="4" fillId="0" borderId="7" xfId="0" applyNumberFormat="1" applyFont="1" applyBorder="1" applyAlignment="1">
      <alignment horizontal="center" vertical="center"/>
    </xf>
    <xf numFmtId="0" fontId="25" fillId="0" borderId="0" xfId="0" applyFont="1" applyAlignment="1">
      <alignment wrapText="1"/>
    </xf>
    <xf numFmtId="0" fontId="0" fillId="0" borderId="0" xfId="0"/>
    <xf numFmtId="0" fontId="0" fillId="0" borderId="0" xfId="0" applyFont="1"/>
    <xf numFmtId="0" fontId="28" fillId="12" borderId="10" xfId="0" applyFont="1" applyFill="1" applyBorder="1" applyAlignment="1">
      <alignment horizontal="center" vertical="center"/>
    </xf>
    <xf numFmtId="0" fontId="0" fillId="0" borderId="10" xfId="0" applyBorder="1" applyAlignment="1">
      <alignment horizontal="center"/>
    </xf>
    <xf numFmtId="0" fontId="28" fillId="12" borderId="10" xfId="0" applyFont="1" applyFill="1" applyBorder="1" applyAlignment="1">
      <alignment horizontal="center" vertical="center" wrapText="1"/>
    </xf>
    <xf numFmtId="0" fontId="0" fillId="0" borderId="10" xfId="0" quotePrefix="1" applyBorder="1" applyAlignment="1">
      <alignment horizontal="center"/>
    </xf>
    <xf numFmtId="0" fontId="21" fillId="0" borderId="8" xfId="2" applyFont="1" applyBorder="1" applyAlignment="1">
      <alignment horizontal="center"/>
    </xf>
    <xf numFmtId="0" fontId="3" fillId="7" borderId="27" xfId="3" applyFill="1" applyBorder="1" applyAlignment="1">
      <alignment horizontal="center" vertical="top" wrapText="1"/>
    </xf>
    <xf numFmtId="0" fontId="3" fillId="7" borderId="28" xfId="3" applyFill="1" applyBorder="1" applyAlignment="1">
      <alignment horizontal="center" vertical="top" wrapText="1"/>
    </xf>
    <xf numFmtId="0" fontId="3" fillId="7" borderId="29" xfId="3" applyFill="1" applyBorder="1" applyAlignment="1">
      <alignment horizontal="center" vertical="top" wrapText="1"/>
    </xf>
    <xf numFmtId="0" fontId="3" fillId="7" borderId="30" xfId="3" applyFill="1" applyBorder="1" applyAlignment="1">
      <alignment horizontal="center" vertical="top" wrapText="1"/>
    </xf>
    <xf numFmtId="0" fontId="3" fillId="7" borderId="0" xfId="3" applyFill="1" applyBorder="1" applyAlignment="1">
      <alignment horizontal="center" vertical="top" wrapText="1"/>
    </xf>
    <xf numFmtId="0" fontId="3" fillId="7" borderId="31" xfId="3" applyFill="1" applyBorder="1" applyAlignment="1">
      <alignment horizontal="center" vertical="top" wrapText="1"/>
    </xf>
    <xf numFmtId="0" fontId="3" fillId="7" borderId="32" xfId="3" applyFill="1" applyBorder="1" applyAlignment="1">
      <alignment horizontal="center" vertical="top" wrapText="1"/>
    </xf>
    <xf numFmtId="0" fontId="3" fillId="7" borderId="33" xfId="3" applyFill="1" applyBorder="1" applyAlignment="1">
      <alignment horizontal="center" vertical="top" wrapText="1"/>
    </xf>
    <xf numFmtId="0" fontId="3" fillId="7" borderId="34" xfId="3" applyFill="1" applyBorder="1" applyAlignment="1">
      <alignment horizontal="center" vertical="top" wrapText="1"/>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6" fillId="6" borderId="13" xfId="2" applyFont="1" applyFill="1" applyBorder="1" applyAlignment="1">
      <alignment horizontal="right"/>
    </xf>
    <xf numFmtId="0" fontId="2" fillId="0" borderId="15" xfId="2" applyFont="1" applyBorder="1" applyAlignment="1">
      <alignment horizontal="left" vertical="center" wrapText="1"/>
    </xf>
    <xf numFmtId="0" fontId="2" fillId="0" borderId="13" xfId="2" applyFont="1" applyBorder="1" applyAlignment="1">
      <alignment horizontal="left" vertical="center" wrapText="1"/>
    </xf>
    <xf numFmtId="0" fontId="2" fillId="0" borderId="15" xfId="2" applyFont="1" applyBorder="1" applyAlignment="1">
      <alignment horizontal="left" vertical="center"/>
    </xf>
    <xf numFmtId="0" fontId="2" fillId="0" borderId="13" xfId="2" applyFont="1" applyBorder="1" applyAlignment="1">
      <alignment horizontal="left" vertical="center"/>
    </xf>
    <xf numFmtId="0" fontId="28" fillId="12" borderId="0" xfId="0" applyFont="1" applyFill="1" applyAlignment="1">
      <alignment horizontal="center" vertical="center"/>
    </xf>
    <xf numFmtId="0" fontId="0" fillId="0" borderId="0" xfId="0" applyAlignment="1">
      <alignment vertical="center" wrapText="1"/>
    </xf>
  </cellXfs>
  <cellStyles count="4">
    <cellStyle name="Normal" xfId="0" builtinId="0"/>
    <cellStyle name="Normal 2" xfId="1" xr:uid="{00000000-0005-0000-0000-000001000000}"/>
    <cellStyle name="Normal_P241 cortec" xfId="2" xr:uid="{00000000-0005-0000-0000-000002000000}"/>
    <cellStyle name="Normal_Template"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List" dx="16" fmlaLink="Language!$A$3" fmlaRange="Language!$B$4:$B$6" noThreeD="1" sel="1" val="0"/>
</file>

<file path=xl/ctrlProps/ctrlProp10.xml><?xml version="1.0" encoding="utf-8"?>
<formControlPr xmlns="http://schemas.microsoft.com/office/spreadsheetml/2009/9/main" objectType="List" dx="16" fmlaLink="Database!$D$65" fmlaRange="Database!$E$66" noThreeD="1" sel="1" val="0"/>
</file>

<file path=xl/ctrlProps/ctrlProp2.xml><?xml version="1.0" encoding="utf-8"?>
<formControlPr xmlns="http://schemas.microsoft.com/office/spreadsheetml/2009/9/main" objectType="List" dx="16" fmlaLink="Database!$D$4" fmlaRange="Database!$E$5:$G$5" noThreeD="1" sel="1" val="0"/>
</file>

<file path=xl/ctrlProps/ctrlProp3.xml><?xml version="1.0" encoding="utf-8"?>
<formControlPr xmlns="http://schemas.microsoft.com/office/spreadsheetml/2009/9/main" objectType="List" dx="16" fmlaLink="Database!$D$9" fmlaRange="Database!$E$10:$E$14" noThreeD="1" sel="5" val="0"/>
</file>

<file path=xl/ctrlProps/ctrlProp4.xml><?xml version="1.0" encoding="utf-8"?>
<formControlPr xmlns="http://schemas.microsoft.com/office/spreadsheetml/2009/9/main" objectType="List" dx="16" fmlaLink="Database!$D$19" fmlaRange="Database!$E$20:$E$24" noThreeD="1" sel="1" val="0"/>
</file>

<file path=xl/ctrlProps/ctrlProp5.xml><?xml version="1.0" encoding="utf-8"?>
<formControlPr xmlns="http://schemas.microsoft.com/office/spreadsheetml/2009/9/main" objectType="List" dx="16" fmlaLink="Database!$D$29" fmlaRange="Database!$E$30:$E$34" noThreeD="1" sel="2" val="0"/>
</file>

<file path=xl/ctrlProps/ctrlProp6.xml><?xml version="1.0" encoding="utf-8"?>
<formControlPr xmlns="http://schemas.microsoft.com/office/spreadsheetml/2009/9/main" objectType="List" dx="16" fmlaLink="Database!$D$39" fmlaRange="Database!$E$40:$E$44" noThreeD="1" sel="1" val="0"/>
</file>

<file path=xl/ctrlProps/ctrlProp7.xml><?xml version="1.0" encoding="utf-8"?>
<formControlPr xmlns="http://schemas.microsoft.com/office/spreadsheetml/2009/9/main" objectType="List" dx="16" fmlaLink="Database!$D$49" fmlaRange="Database!$E$50:$E$53" noThreeD="1" sel="2" val="0"/>
</file>

<file path=xl/ctrlProps/ctrlProp8.xml><?xml version="1.0" encoding="utf-8"?>
<formControlPr xmlns="http://schemas.microsoft.com/office/spreadsheetml/2009/9/main" objectType="List" dx="16" fmlaLink="Database!$D$55" fmlaRange="Database!$E$56:$E$59" noThreeD="1" sel="2" val="0"/>
</file>

<file path=xl/ctrlProps/ctrlProp9.xml><?xml version="1.0" encoding="utf-8"?>
<formControlPr xmlns="http://schemas.microsoft.com/office/spreadsheetml/2009/9/main" objectType="List" dx="16" fmlaLink="Database!$D$61" fmlaRange="Database!$E$62:$E$63"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11</xdr:row>
          <xdr:rowOff>47625</xdr:rowOff>
        </xdr:from>
        <xdr:to>
          <xdr:col>3</xdr:col>
          <xdr:colOff>752475</xdr:colOff>
          <xdr:row>15</xdr:row>
          <xdr:rowOff>0</xdr:rowOff>
        </xdr:to>
        <xdr:sp macro="" textlink="">
          <xdr:nvSpPr>
            <xdr:cNvPr id="5126" name="List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6</xdr:col>
          <xdr:colOff>0</xdr:colOff>
          <xdr:row>5</xdr:row>
          <xdr:rowOff>0</xdr:rowOff>
        </xdr:to>
        <xdr:sp macro="" textlink="">
          <xdr:nvSpPr>
            <xdr:cNvPr id="8194" name="List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6</xdr:col>
          <xdr:colOff>9525</xdr:colOff>
          <xdr:row>7</xdr:row>
          <xdr:rowOff>0</xdr:rowOff>
        </xdr:to>
        <xdr:sp macro="" textlink="">
          <xdr:nvSpPr>
            <xdr:cNvPr id="8197" name="List Box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6</xdr:col>
          <xdr:colOff>0</xdr:colOff>
          <xdr:row>9</xdr:row>
          <xdr:rowOff>0</xdr:rowOff>
        </xdr:to>
        <xdr:sp macro="" textlink="">
          <xdr:nvSpPr>
            <xdr:cNvPr id="8199" name="List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6</xdr:col>
          <xdr:colOff>0</xdr:colOff>
          <xdr:row>11</xdr:row>
          <xdr:rowOff>0</xdr:rowOff>
        </xdr:to>
        <xdr:sp macro="" textlink="">
          <xdr:nvSpPr>
            <xdr:cNvPr id="8201" name="List Box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6</xdr:col>
          <xdr:colOff>0</xdr:colOff>
          <xdr:row>13</xdr:row>
          <xdr:rowOff>0</xdr:rowOff>
        </xdr:to>
        <xdr:sp macro="" textlink="">
          <xdr:nvSpPr>
            <xdr:cNvPr id="8203" name="List Box 11" hidden="1">
              <a:extLst>
                <a:ext uri="{63B3BB69-23CF-44E3-9099-C40C66FF867C}">
                  <a14:compatExt spid="_x0000_s8203"/>
                </a:ext>
                <a:ext uri="{FF2B5EF4-FFF2-40B4-BE49-F238E27FC236}">
                  <a16:creationId xmlns:a16="http://schemas.microsoft.com/office/drawing/2014/main" id="{00000000-0008-0000-0200-00000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0</xdr:rowOff>
        </xdr:from>
        <xdr:to>
          <xdr:col>6</xdr:col>
          <xdr:colOff>0</xdr:colOff>
          <xdr:row>15</xdr:row>
          <xdr:rowOff>0</xdr:rowOff>
        </xdr:to>
        <xdr:sp macro="" textlink="">
          <xdr:nvSpPr>
            <xdr:cNvPr id="8232" name="List Box 40" hidden="1">
              <a:extLst>
                <a:ext uri="{63B3BB69-23CF-44E3-9099-C40C66FF867C}">
                  <a14:compatExt spid="_x0000_s8232"/>
                </a:ext>
                <a:ext uri="{FF2B5EF4-FFF2-40B4-BE49-F238E27FC236}">
                  <a16:creationId xmlns:a16="http://schemas.microsoft.com/office/drawing/2014/main" id="{00000000-0008-0000-0200-00002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0</xdr:rowOff>
        </xdr:from>
        <xdr:to>
          <xdr:col>6</xdr:col>
          <xdr:colOff>0</xdr:colOff>
          <xdr:row>17</xdr:row>
          <xdr:rowOff>0</xdr:rowOff>
        </xdr:to>
        <xdr:sp macro="" textlink="">
          <xdr:nvSpPr>
            <xdr:cNvPr id="8233" name="List Box 41" hidden="1">
              <a:extLst>
                <a:ext uri="{63B3BB69-23CF-44E3-9099-C40C66FF867C}">
                  <a14:compatExt spid="_x0000_s8233"/>
                </a:ext>
                <a:ext uri="{FF2B5EF4-FFF2-40B4-BE49-F238E27FC236}">
                  <a16:creationId xmlns:a16="http://schemas.microsoft.com/office/drawing/2014/main" id="{00000000-0008-0000-0200-00002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0</xdr:rowOff>
        </xdr:from>
        <xdr:to>
          <xdr:col>6</xdr:col>
          <xdr:colOff>0</xdr:colOff>
          <xdr:row>19</xdr:row>
          <xdr:rowOff>0</xdr:rowOff>
        </xdr:to>
        <xdr:sp macro="" textlink="">
          <xdr:nvSpPr>
            <xdr:cNvPr id="8234" name="List Box 42" hidden="1">
              <a:extLst>
                <a:ext uri="{63B3BB69-23CF-44E3-9099-C40C66FF867C}">
                  <a14:compatExt spid="_x0000_s8234"/>
                </a:ext>
                <a:ext uri="{FF2B5EF4-FFF2-40B4-BE49-F238E27FC236}">
                  <a16:creationId xmlns:a16="http://schemas.microsoft.com/office/drawing/2014/main" id="{00000000-0008-0000-0200-00002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0</xdr:rowOff>
        </xdr:from>
        <xdr:to>
          <xdr:col>6</xdr:col>
          <xdr:colOff>9525</xdr:colOff>
          <xdr:row>21</xdr:row>
          <xdr:rowOff>0</xdr:rowOff>
        </xdr:to>
        <xdr:sp macro="" textlink="">
          <xdr:nvSpPr>
            <xdr:cNvPr id="8235" name="List Box 43" hidden="1">
              <a:extLst>
                <a:ext uri="{63B3BB69-23CF-44E3-9099-C40C66FF867C}">
                  <a14:compatExt spid="_x0000_s8235"/>
                </a:ext>
                <a:ext uri="{FF2B5EF4-FFF2-40B4-BE49-F238E27FC236}">
                  <a16:creationId xmlns:a16="http://schemas.microsoft.com/office/drawing/2014/main" id="{00000000-0008-0000-0200-00002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vmlDrawing" Target="../drawings/vmlDrawing2.v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11">
    <pageSetUpPr fitToPage="1"/>
  </sheetPr>
  <dimension ref="B2:J15"/>
  <sheetViews>
    <sheetView showGridLines="0" showRowColHeaders="0" tabSelected="1" workbookViewId="0">
      <selection activeCell="J21" sqref="J21"/>
    </sheetView>
  </sheetViews>
  <sheetFormatPr defaultColWidth="10.28515625" defaultRowHeight="14.25" x14ac:dyDescent="0.2"/>
  <cols>
    <col min="1" max="1" width="4.140625" style="1" customWidth="1"/>
    <col min="2" max="9" width="11.42578125" style="1" customWidth="1"/>
    <col min="10" max="10" width="45.7109375" style="1" customWidth="1"/>
    <col min="11" max="16384" width="10.28515625" style="1"/>
  </cols>
  <sheetData>
    <row r="2" spans="2:10" ht="15" thickBot="1" x14ac:dyDescent="0.25"/>
    <row r="3" spans="2:10" ht="15" customHeight="1" thickTop="1" x14ac:dyDescent="0.2">
      <c r="B3" s="253" t="str">
        <f>HLOOKUP(Language!$C$3,Language!$E$1:$Z566,32,FALSE)</f>
        <v xml:space="preserve">Our policy is one of continuous development. Accordingly the design of our products may change at any time. </v>
      </c>
      <c r="C3" s="254"/>
      <c r="D3" s="254"/>
      <c r="E3" s="254"/>
      <c r="F3" s="254"/>
      <c r="G3" s="254"/>
      <c r="H3" s="254"/>
      <c r="I3" s="254"/>
      <c r="J3" s="255"/>
    </row>
    <row r="4" spans="2:10" ht="14.25" customHeight="1" x14ac:dyDescent="0.2">
      <c r="B4" s="256" t="str">
        <f>HLOOKUP(Language!$C$3,Language!$E$1:$Z566,33,FALSE)</f>
        <v>Whilst every effort is made to produce up to date literature, this document should only be regarded as a guide and is intended for information purposes only.</v>
      </c>
      <c r="C4" s="257"/>
      <c r="D4" s="257"/>
      <c r="E4" s="257"/>
      <c r="F4" s="257"/>
      <c r="G4" s="257"/>
      <c r="H4" s="257"/>
      <c r="I4" s="257"/>
      <c r="J4" s="258"/>
    </row>
    <row r="5" spans="2:10" x14ac:dyDescent="0.2">
      <c r="B5" s="256"/>
      <c r="C5" s="257"/>
      <c r="D5" s="257"/>
      <c r="E5" s="257"/>
      <c r="F5" s="257"/>
      <c r="G5" s="257"/>
      <c r="H5" s="257"/>
      <c r="I5" s="257"/>
      <c r="J5" s="258"/>
    </row>
    <row r="6" spans="2:10" ht="14.25" customHeight="1" x14ac:dyDescent="0.2">
      <c r="B6" s="256" t="str">
        <f>HLOOKUP(Language!$C$3,Language!$E$1:$Z566,34,FALSE)</f>
        <v>Its contents do not constitute an offer for sale or advice on the application of any product referred to in it. We cannot be held responsible for any reliance on any decisions taken on its contents without specific advice.</v>
      </c>
      <c r="C6" s="257"/>
      <c r="D6" s="257"/>
      <c r="E6" s="257"/>
      <c r="F6" s="257"/>
      <c r="G6" s="257"/>
      <c r="H6" s="257"/>
      <c r="I6" s="257"/>
      <c r="J6" s="258"/>
    </row>
    <row r="7" spans="2:10" x14ac:dyDescent="0.2">
      <c r="B7" s="256"/>
      <c r="C7" s="257"/>
      <c r="D7" s="257"/>
      <c r="E7" s="257"/>
      <c r="F7" s="257"/>
      <c r="G7" s="257"/>
      <c r="H7" s="257"/>
      <c r="I7" s="257"/>
      <c r="J7" s="258"/>
    </row>
    <row r="8" spans="2:10" ht="3.75" customHeight="1" thickBot="1" x14ac:dyDescent="0.25">
      <c r="B8" s="259"/>
      <c r="C8" s="260"/>
      <c r="D8" s="260"/>
      <c r="E8" s="260"/>
      <c r="F8" s="260"/>
      <c r="G8" s="260"/>
      <c r="H8" s="260"/>
      <c r="I8" s="260"/>
      <c r="J8" s="261"/>
    </row>
    <row r="9" spans="2:10" ht="15" thickTop="1" x14ac:dyDescent="0.2"/>
    <row r="10" spans="2:10" ht="15" thickBot="1" x14ac:dyDescent="0.25"/>
    <row r="11" spans="2:10" ht="15.75" x14ac:dyDescent="0.2">
      <c r="B11" s="262" t="str">
        <f>HLOOKUP(Language!$C$3,Language!$E$1:$Z566,31,FALSE)</f>
        <v>Language Selection</v>
      </c>
      <c r="C11" s="263"/>
      <c r="D11" s="264"/>
    </row>
    <row r="12" spans="2:10" x14ac:dyDescent="0.2">
      <c r="B12" s="139"/>
      <c r="C12" s="140"/>
      <c r="D12" s="141"/>
    </row>
    <row r="13" spans="2:10" x14ac:dyDescent="0.2">
      <c r="B13" s="139"/>
      <c r="C13" s="140"/>
      <c r="D13" s="141"/>
    </row>
    <row r="14" spans="2:10" x14ac:dyDescent="0.2">
      <c r="B14" s="139"/>
      <c r="C14" s="140"/>
      <c r="D14" s="141"/>
    </row>
    <row r="15" spans="2:10" ht="15" thickBot="1" x14ac:dyDescent="0.25">
      <c r="B15" s="142"/>
      <c r="C15" s="143"/>
      <c r="D15" s="144"/>
    </row>
  </sheetData>
  <sheetProtection password="C927" sheet="1" objects="1" scenarios="1"/>
  <mergeCells count="4">
    <mergeCell ref="B3:J3"/>
    <mergeCell ref="B4:J5"/>
    <mergeCell ref="B6:J8"/>
    <mergeCell ref="B11:D11"/>
  </mergeCells>
  <phoneticPr fontId="19" type="noConversion"/>
  <pageMargins left="0.75" right="0.75" top="1" bottom="1" header="0.5" footer="0.5"/>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6" r:id="rId4" name="List Box 6">
              <controlPr defaultSize="0" autoLine="0" autoPict="0">
                <anchor moveWithCells="1">
                  <from>
                    <xdr:col>1</xdr:col>
                    <xdr:colOff>0</xdr:colOff>
                    <xdr:row>11</xdr:row>
                    <xdr:rowOff>47625</xdr:rowOff>
                  </from>
                  <to>
                    <xdr:col>3</xdr:col>
                    <xdr:colOff>752475</xdr:colOff>
                    <xdr:row>15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X70"/>
  <sheetViews>
    <sheetView showGridLines="0" showRowColHeaders="0" topLeftCell="A31" workbookViewId="0">
      <selection activeCell="E9" sqref="E9"/>
    </sheetView>
  </sheetViews>
  <sheetFormatPr defaultColWidth="33.5703125" defaultRowHeight="12.75" x14ac:dyDescent="0.2"/>
  <cols>
    <col min="1" max="1" width="8.140625" style="64" customWidth="1"/>
    <col min="2" max="2" width="19" style="64" customWidth="1"/>
    <col min="3" max="3" width="51.140625" style="64" customWidth="1"/>
    <col min="4" max="4" width="12.7109375" style="94" customWidth="1"/>
    <col min="5" max="13" width="2.7109375" style="94" customWidth="1"/>
    <col min="14" max="255" width="9.140625" style="64" customWidth="1"/>
    <col min="256" max="256" width="8.140625" style="64" customWidth="1"/>
    <col min="257" max="257" width="19" style="64" customWidth="1"/>
    <col min="258" max="16384" width="33.5703125" style="64"/>
  </cols>
  <sheetData>
    <row r="1" spans="1:258" x14ac:dyDescent="0.2">
      <c r="A1" s="53" t="str">
        <f>HLOOKUP(Language!$C$3,Language!$E$1:$Z566,35,FALSE)</f>
        <v>Information required with Order:</v>
      </c>
      <c r="B1" s="53"/>
      <c r="C1" s="53"/>
      <c r="D1" s="63"/>
      <c r="E1" s="63"/>
      <c r="F1" s="63"/>
      <c r="G1" s="63"/>
      <c r="H1" s="63"/>
      <c r="I1" s="63"/>
      <c r="J1" s="63"/>
      <c r="K1" s="63"/>
      <c r="L1" s="63"/>
      <c r="M1" s="63"/>
    </row>
    <row r="2" spans="1:258" x14ac:dyDescent="0.2">
      <c r="A2" s="53"/>
      <c r="B2" s="53"/>
      <c r="C2" s="53"/>
      <c r="D2" s="63"/>
      <c r="E2" s="63"/>
      <c r="F2" s="63"/>
      <c r="G2" s="63"/>
      <c r="H2" s="63"/>
      <c r="I2" s="63"/>
      <c r="J2" s="63"/>
      <c r="K2" s="63"/>
      <c r="L2" s="63"/>
      <c r="M2" s="63"/>
      <c r="N2" s="53"/>
    </row>
    <row r="3" spans="1:258" x14ac:dyDescent="0.2">
      <c r="A3" s="65" t="str">
        <f>HLOOKUP(Language!$C$3,Language!$E$1:$Z566,36,FALSE)</f>
        <v>Variants</v>
      </c>
      <c r="B3" s="265" t="str">
        <f>HLOOKUP(Language!$C$3,Language!$E$1:$Z566,37,FALSE)</f>
        <v>Order Number</v>
      </c>
      <c r="C3" s="265"/>
      <c r="D3" s="265"/>
      <c r="E3" s="265"/>
      <c r="F3" s="265"/>
      <c r="G3" s="265"/>
      <c r="H3" s="265"/>
      <c r="I3" s="265"/>
      <c r="J3" s="145"/>
      <c r="K3" s="66"/>
      <c r="L3" s="66"/>
      <c r="M3" s="66"/>
    </row>
    <row r="4" spans="1:258" x14ac:dyDescent="0.2">
      <c r="A4" s="118"/>
      <c r="B4" s="119"/>
      <c r="C4" s="120"/>
      <c r="D4" s="68" t="s">
        <v>8</v>
      </c>
      <c r="E4" s="69">
        <v>6</v>
      </c>
      <c r="F4" s="70">
        <v>7</v>
      </c>
      <c r="G4" s="68">
        <v>8</v>
      </c>
      <c r="H4" s="68">
        <v>9</v>
      </c>
      <c r="I4" s="68">
        <v>10</v>
      </c>
      <c r="J4" s="193">
        <v>11</v>
      </c>
      <c r="K4" s="193">
        <v>12</v>
      </c>
      <c r="L4" s="193">
        <v>13</v>
      </c>
      <c r="M4" s="193">
        <v>14</v>
      </c>
    </row>
    <row r="5" spans="1:258" x14ac:dyDescent="0.2">
      <c r="A5" s="71" t="str">
        <f>'Date Drivers'!B4</f>
        <v>Model Type</v>
      </c>
      <c r="B5" s="53"/>
      <c r="C5" s="53"/>
      <c r="D5" s="72"/>
      <c r="E5" s="73"/>
      <c r="F5" s="74"/>
      <c r="G5" s="72"/>
      <c r="H5" s="75"/>
      <c r="I5" s="76"/>
      <c r="J5" s="77"/>
      <c r="K5" s="75"/>
      <c r="L5" s="76"/>
      <c r="M5" s="195"/>
      <c r="N5" s="53"/>
    </row>
    <row r="6" spans="1:258" x14ac:dyDescent="0.2">
      <c r="A6" s="192" t="str">
        <f>'Date Drivers'!C4</f>
        <v>RA332 Acquisition Module for RPV311</v>
      </c>
      <c r="B6" s="79"/>
      <c r="C6" s="79"/>
      <c r="D6" s="214" t="str">
        <f ca="1">Database!E2</f>
        <v>RA332</v>
      </c>
      <c r="E6" s="73"/>
      <c r="F6" s="74"/>
      <c r="G6" s="72"/>
      <c r="H6" s="75"/>
      <c r="I6" s="76"/>
      <c r="J6" s="77"/>
      <c r="K6" s="75"/>
      <c r="L6" s="76"/>
      <c r="M6" s="195"/>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80"/>
      <c r="GA6" s="80"/>
      <c r="GB6" s="80"/>
      <c r="GC6" s="80"/>
      <c r="GD6" s="80"/>
      <c r="GE6" s="80"/>
      <c r="GF6" s="80"/>
      <c r="GG6" s="80"/>
      <c r="GH6" s="80"/>
      <c r="GI6" s="80"/>
      <c r="GJ6" s="80"/>
      <c r="GK6" s="80"/>
      <c r="GL6" s="80"/>
      <c r="GM6" s="80"/>
      <c r="GN6" s="80"/>
      <c r="GO6" s="80"/>
      <c r="GP6" s="80"/>
      <c r="GQ6" s="80"/>
      <c r="GR6" s="80"/>
      <c r="GS6" s="80"/>
      <c r="GT6" s="80"/>
      <c r="GU6" s="80"/>
      <c r="GV6" s="80"/>
      <c r="GW6" s="80"/>
      <c r="GX6" s="80"/>
      <c r="GY6" s="80"/>
      <c r="GZ6" s="80"/>
      <c r="HA6" s="80"/>
      <c r="HB6" s="80"/>
      <c r="HC6" s="80"/>
      <c r="HD6" s="80"/>
      <c r="HE6" s="80"/>
      <c r="HF6" s="80"/>
      <c r="HG6" s="80"/>
      <c r="HH6" s="80"/>
      <c r="HI6" s="80"/>
      <c r="HJ6" s="80"/>
      <c r="HK6" s="80"/>
      <c r="HL6" s="80"/>
      <c r="HM6" s="80"/>
      <c r="HN6" s="80"/>
      <c r="HO6" s="80"/>
      <c r="HP6" s="80"/>
      <c r="HQ6" s="80"/>
      <c r="HR6" s="80"/>
      <c r="HS6" s="80"/>
      <c r="HT6" s="80"/>
      <c r="HU6" s="80"/>
      <c r="HV6" s="80"/>
      <c r="HW6" s="80"/>
      <c r="HX6" s="80"/>
      <c r="HY6" s="80"/>
      <c r="HZ6" s="80"/>
      <c r="IA6" s="80"/>
      <c r="IB6" s="80"/>
      <c r="IC6" s="80"/>
      <c r="ID6" s="80"/>
      <c r="IE6" s="80"/>
      <c r="IF6" s="80"/>
      <c r="IG6" s="80"/>
      <c r="IH6" s="80"/>
      <c r="II6" s="80"/>
      <c r="IJ6" s="80"/>
      <c r="IK6" s="80"/>
      <c r="IL6" s="80"/>
      <c r="IM6" s="80"/>
      <c r="IN6" s="80"/>
      <c r="IO6" s="80"/>
      <c r="IP6" s="80"/>
      <c r="IQ6" s="80"/>
      <c r="IR6" s="80"/>
      <c r="IS6" s="80"/>
      <c r="IT6" s="80"/>
      <c r="IU6" s="80"/>
      <c r="IV6" s="80"/>
      <c r="IW6" s="80"/>
      <c r="IX6" s="80"/>
    </row>
    <row r="7" spans="1:258" x14ac:dyDescent="0.2">
      <c r="A7" s="81"/>
      <c r="B7" s="82"/>
      <c r="C7" s="82"/>
      <c r="D7" s="83"/>
      <c r="E7" s="73"/>
      <c r="F7" s="74"/>
      <c r="G7" s="72"/>
      <c r="H7" s="75"/>
      <c r="I7" s="76"/>
      <c r="J7" s="77"/>
      <c r="K7" s="75"/>
      <c r="L7" s="76"/>
      <c r="M7" s="195"/>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c r="IO7" s="80"/>
      <c r="IP7" s="80"/>
      <c r="IQ7" s="80"/>
      <c r="IR7" s="80"/>
      <c r="IS7" s="80"/>
      <c r="IT7" s="80"/>
      <c r="IU7" s="80"/>
      <c r="IV7" s="80"/>
      <c r="IW7" s="80"/>
      <c r="IX7" s="80"/>
    </row>
    <row r="8" spans="1:258" x14ac:dyDescent="0.2">
      <c r="A8" s="71" t="str">
        <f ca="1">Database!B4</f>
        <v>Power Supply</v>
      </c>
      <c r="B8" s="79"/>
      <c r="C8" s="79"/>
      <c r="D8" s="84"/>
      <c r="E8" s="73"/>
      <c r="F8" s="74"/>
      <c r="G8" s="72"/>
      <c r="H8" s="75"/>
      <c r="I8" s="76"/>
      <c r="J8" s="77"/>
      <c r="K8" s="75"/>
      <c r="L8" s="76"/>
      <c r="M8" s="195"/>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c r="IU8" s="80"/>
      <c r="IV8" s="80"/>
      <c r="IW8" s="80"/>
      <c r="IX8" s="80"/>
    </row>
    <row r="9" spans="1:258" x14ac:dyDescent="0.2">
      <c r="A9" s="216" t="str">
        <f>'Date Drivers'!$AG$6</f>
        <v>24-48 Vdc (withdrawn)</v>
      </c>
      <c r="B9" s="79"/>
      <c r="C9" s="79"/>
      <c r="D9" s="84"/>
      <c r="E9" s="252">
        <f>'Date Drivers'!$AH$6</f>
        <v>1</v>
      </c>
      <c r="F9" s="74"/>
      <c r="G9" s="72"/>
      <c r="H9" s="75"/>
      <c r="I9" s="76"/>
      <c r="J9" s="77"/>
      <c r="K9" s="75"/>
      <c r="L9" s="76"/>
      <c r="M9" s="195"/>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c r="IR9" s="80"/>
      <c r="IS9" s="80"/>
      <c r="IT9" s="80"/>
      <c r="IU9" s="80"/>
      <c r="IV9" s="80"/>
      <c r="IW9" s="80"/>
      <c r="IX9" s="80"/>
    </row>
    <row r="10" spans="1:258" x14ac:dyDescent="0.2">
      <c r="A10" s="78" t="str">
        <f ca="1">Database!E5</f>
        <v>100-250 Vdc / 110-240 Vac</v>
      </c>
      <c r="B10" s="79"/>
      <c r="C10" s="79"/>
      <c r="D10" s="84"/>
      <c r="E10" s="121">
        <f ca="1">Database!$F5</f>
        <v>3</v>
      </c>
      <c r="F10" s="74"/>
      <c r="G10" s="72"/>
      <c r="H10" s="75"/>
      <c r="I10" s="76"/>
      <c r="J10" s="77"/>
      <c r="K10" s="75"/>
      <c r="L10" s="76"/>
      <c r="M10" s="195"/>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row>
    <row r="11" spans="1:258" x14ac:dyDescent="0.2">
      <c r="A11" s="81"/>
      <c r="B11" s="82"/>
      <c r="C11" s="82"/>
      <c r="D11" s="83"/>
      <c r="E11" s="86"/>
      <c r="F11" s="74"/>
      <c r="G11" s="72"/>
      <c r="H11" s="75"/>
      <c r="I11" s="76"/>
      <c r="J11" s="77"/>
      <c r="K11" s="75"/>
      <c r="L11" s="76"/>
      <c r="M11" s="195"/>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c r="HK11" s="80"/>
      <c r="HL11" s="80"/>
      <c r="HM11" s="80"/>
      <c r="HN11" s="80"/>
      <c r="HO11" s="80"/>
      <c r="HP11" s="80"/>
      <c r="HQ11" s="80"/>
      <c r="HR11" s="80"/>
      <c r="HS11" s="80"/>
      <c r="HT11" s="80"/>
      <c r="HU11" s="80"/>
      <c r="HV11" s="80"/>
      <c r="HW11" s="80"/>
      <c r="HX11" s="80"/>
      <c r="HY11" s="80"/>
      <c r="HZ11" s="80"/>
      <c r="IA11" s="80"/>
      <c r="IB11" s="80"/>
      <c r="IC11" s="80"/>
      <c r="ID11" s="80"/>
      <c r="IE11" s="80"/>
      <c r="IF11" s="80"/>
      <c r="IG11" s="80"/>
      <c r="IH11" s="80"/>
      <c r="II11" s="80"/>
      <c r="IJ11" s="80"/>
      <c r="IK11" s="80"/>
      <c r="IL11" s="80"/>
      <c r="IM11" s="80"/>
      <c r="IN11" s="80"/>
      <c r="IO11" s="80"/>
      <c r="IP11" s="80"/>
      <c r="IQ11" s="80"/>
      <c r="IR11" s="80"/>
      <c r="IS11" s="80"/>
      <c r="IT11" s="80"/>
      <c r="IU11" s="80"/>
      <c r="IV11" s="80"/>
      <c r="IW11" s="80"/>
      <c r="IX11" s="80"/>
    </row>
    <row r="12" spans="1:258" x14ac:dyDescent="0.2">
      <c r="A12" s="71" t="str">
        <f ca="1">Database!B9</f>
        <v>Analogue Inputs 1 to 4</v>
      </c>
      <c r="B12" s="79"/>
      <c r="C12" s="79"/>
      <c r="D12" s="84"/>
      <c r="E12" s="87"/>
      <c r="F12" s="74"/>
      <c r="G12" s="72"/>
      <c r="H12" s="75"/>
      <c r="I12" s="76"/>
      <c r="J12" s="77"/>
      <c r="K12" s="75"/>
      <c r="L12" s="76"/>
      <c r="M12" s="195"/>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0"/>
      <c r="FZ12" s="80"/>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0"/>
      <c r="HS12" s="80"/>
      <c r="HT12" s="80"/>
      <c r="HU12" s="80"/>
      <c r="HV12" s="80"/>
      <c r="HW12" s="80"/>
      <c r="HX12" s="80"/>
      <c r="HY12" s="80"/>
      <c r="HZ12" s="80"/>
      <c r="IA12" s="80"/>
      <c r="IB12" s="80"/>
      <c r="IC12" s="80"/>
      <c r="ID12" s="80"/>
      <c r="IE12" s="80"/>
      <c r="IF12" s="80"/>
      <c r="IG12" s="80"/>
      <c r="IH12" s="80"/>
      <c r="II12" s="80"/>
      <c r="IJ12" s="80"/>
      <c r="IK12" s="80"/>
      <c r="IL12" s="80"/>
      <c r="IM12" s="80"/>
      <c r="IN12" s="80"/>
      <c r="IO12" s="80"/>
      <c r="IP12" s="80"/>
      <c r="IQ12" s="80"/>
      <c r="IR12" s="80"/>
      <c r="IS12" s="80"/>
      <c r="IT12" s="80"/>
      <c r="IU12" s="80"/>
      <c r="IV12" s="80"/>
      <c r="IW12" s="80"/>
      <c r="IX12" s="80"/>
    </row>
    <row r="13" spans="1:258" x14ac:dyDescent="0.2">
      <c r="A13" s="216" t="str">
        <f>'Date Drivers'!$W$9</f>
        <v>Voltage inputs 115 V / Current inputs 1 A; full-scale 20 A (Ith = 40 A) (withdrawn)</v>
      </c>
      <c r="B13" s="88"/>
      <c r="C13" s="88"/>
      <c r="D13" s="89"/>
      <c r="E13" s="90"/>
      <c r="F13" s="217">
        <f>'Date Drivers'!$X$9</f>
        <v>1</v>
      </c>
      <c r="G13" s="72"/>
      <c r="H13" s="75"/>
      <c r="I13" s="76"/>
      <c r="J13" s="77"/>
      <c r="K13" s="75"/>
      <c r="L13" s="76"/>
      <c r="M13" s="195"/>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c r="IR13" s="80"/>
      <c r="IS13" s="80"/>
      <c r="IT13" s="80"/>
      <c r="IU13" s="80"/>
      <c r="IV13" s="80"/>
      <c r="IW13" s="80"/>
      <c r="IX13" s="80"/>
    </row>
    <row r="14" spans="1:258" x14ac:dyDescent="0.2">
      <c r="A14" s="78" t="str">
        <f ca="1">Database!E10</f>
        <v>Voltage inputs 115 V / Current inputs 1 A; full-scale 40 A (Ith = 100 A)</v>
      </c>
      <c r="B14" s="79"/>
      <c r="C14" s="79"/>
      <c r="D14" s="84"/>
      <c r="E14" s="87"/>
      <c r="F14" s="85">
        <f ca="1">Database!$F10</f>
        <v>2</v>
      </c>
      <c r="G14" s="72"/>
      <c r="H14" s="75"/>
      <c r="I14" s="76"/>
      <c r="J14" s="77"/>
      <c r="K14" s="75"/>
      <c r="L14" s="76"/>
      <c r="M14" s="195"/>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row>
    <row r="15" spans="1:258" x14ac:dyDescent="0.2">
      <c r="A15" s="216" t="str">
        <f>'Date Drivers'!$AB$11</f>
        <v>Voltage inputs 115 V / Current inputs 5 A; full-scale 100 A (Ith = 200 A) (withdrawn)</v>
      </c>
      <c r="B15" s="79"/>
      <c r="C15" s="79"/>
      <c r="D15" s="84"/>
      <c r="E15" s="87"/>
      <c r="F15" s="217">
        <f>'Date Drivers'!$AC$11</f>
        <v>5</v>
      </c>
      <c r="G15" s="72"/>
      <c r="H15" s="75"/>
      <c r="I15" s="76"/>
      <c r="J15" s="77"/>
      <c r="K15" s="75"/>
      <c r="L15" s="76"/>
      <c r="M15" s="195"/>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c r="HI15" s="80"/>
      <c r="HJ15" s="80"/>
      <c r="HK15" s="80"/>
      <c r="HL15" s="80"/>
      <c r="HM15" s="80"/>
      <c r="HN15" s="80"/>
      <c r="HO15" s="80"/>
      <c r="HP15" s="80"/>
      <c r="HQ15" s="80"/>
      <c r="HR15" s="80"/>
      <c r="HS15" s="80"/>
      <c r="HT15" s="80"/>
      <c r="HU15" s="80"/>
      <c r="HV15" s="80"/>
      <c r="HW15" s="80"/>
      <c r="HX15" s="80"/>
      <c r="HY15" s="80"/>
      <c r="HZ15" s="80"/>
      <c r="IA15" s="80"/>
      <c r="IB15" s="80"/>
      <c r="IC15" s="80"/>
      <c r="ID15" s="80"/>
      <c r="IE15" s="80"/>
      <c r="IF15" s="80"/>
      <c r="IG15" s="80"/>
      <c r="IH15" s="80"/>
      <c r="II15" s="80"/>
      <c r="IJ15" s="80"/>
      <c r="IK15" s="80"/>
      <c r="IL15" s="80"/>
      <c r="IM15" s="80"/>
      <c r="IN15" s="80"/>
      <c r="IO15" s="80"/>
      <c r="IP15" s="80"/>
      <c r="IQ15" s="80"/>
      <c r="IR15" s="80"/>
      <c r="IS15" s="80"/>
      <c r="IT15" s="80"/>
      <c r="IU15" s="80"/>
      <c r="IV15" s="80"/>
      <c r="IW15" s="80"/>
      <c r="IX15" s="80"/>
    </row>
    <row r="16" spans="1:258" x14ac:dyDescent="0.2">
      <c r="A16" s="78" t="str">
        <f ca="1">Database!E11</f>
        <v>Voltage inputs 115 V / Current inputs 5 A; full-scale 200 A (Ith = 200 A)</v>
      </c>
      <c r="B16" s="79"/>
      <c r="C16" s="79"/>
      <c r="D16" s="84"/>
      <c r="E16" s="87"/>
      <c r="F16" s="85">
        <f ca="1">Database!$F11</f>
        <v>6</v>
      </c>
      <c r="G16" s="72"/>
      <c r="H16" s="75"/>
      <c r="I16" s="76"/>
      <c r="J16" s="77"/>
      <c r="K16" s="75"/>
      <c r="L16" s="76"/>
      <c r="M16" s="195"/>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80"/>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c r="HT16" s="80"/>
      <c r="HU16" s="80"/>
      <c r="HV16" s="80"/>
      <c r="HW16" s="80"/>
      <c r="HX16" s="80"/>
      <c r="HY16" s="80"/>
      <c r="HZ16" s="80"/>
      <c r="IA16" s="80"/>
      <c r="IB16" s="80"/>
      <c r="IC16" s="80"/>
      <c r="ID16" s="80"/>
      <c r="IE16" s="80"/>
      <c r="IF16" s="80"/>
      <c r="IG16" s="80"/>
      <c r="IH16" s="80"/>
      <c r="II16" s="80"/>
      <c r="IJ16" s="80"/>
      <c r="IK16" s="80"/>
      <c r="IL16" s="80"/>
      <c r="IM16" s="80"/>
      <c r="IN16" s="80"/>
      <c r="IO16" s="80"/>
      <c r="IP16" s="80"/>
      <c r="IQ16" s="80"/>
      <c r="IR16" s="80"/>
      <c r="IS16" s="80"/>
      <c r="IT16" s="80"/>
      <c r="IU16" s="80"/>
      <c r="IV16" s="80"/>
      <c r="IW16" s="80"/>
      <c r="IX16" s="80"/>
    </row>
    <row r="17" spans="1:258" x14ac:dyDescent="0.2">
      <c r="A17" s="216" t="str">
        <f>'Date Drivers'!$W$13</f>
        <v>Voltage inputs 115 V / Current inputs 5 A; full-scale 14 A (Ith = 32 A) (withdrawn)</v>
      </c>
      <c r="B17" s="88"/>
      <c r="C17" s="88"/>
      <c r="D17" s="89"/>
      <c r="E17" s="90"/>
      <c r="F17" s="217" t="str">
        <f>'Date Drivers'!$X$13</f>
        <v>T</v>
      </c>
      <c r="G17" s="72"/>
      <c r="H17" s="75"/>
      <c r="I17" s="76"/>
      <c r="J17" s="77"/>
      <c r="K17" s="75"/>
      <c r="L17" s="76"/>
      <c r="M17" s="195"/>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row>
    <row r="18" spans="1:258" x14ac:dyDescent="0.2">
      <c r="A18" s="78" t="str">
        <f ca="1">Database!E12</f>
        <v>Voltage inputs ±10 Vdc / Current inputs 0-20 mAdc</v>
      </c>
      <c r="B18" s="79"/>
      <c r="C18" s="79"/>
      <c r="D18" s="84"/>
      <c r="E18" s="87"/>
      <c r="F18" s="85" t="str">
        <f ca="1">Database!$F12</f>
        <v>D</v>
      </c>
      <c r="G18" s="72"/>
      <c r="H18" s="75"/>
      <c r="I18" s="76"/>
      <c r="J18" s="77"/>
      <c r="K18" s="75"/>
      <c r="L18" s="76"/>
      <c r="M18" s="195"/>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c r="IC18" s="80"/>
      <c r="ID18" s="80"/>
      <c r="IE18" s="80"/>
      <c r="IF18" s="80"/>
      <c r="IG18" s="80"/>
      <c r="IH18" s="80"/>
      <c r="II18" s="80"/>
      <c r="IJ18" s="80"/>
      <c r="IK18" s="80"/>
      <c r="IL18" s="80"/>
      <c r="IM18" s="80"/>
      <c r="IN18" s="80"/>
      <c r="IO18" s="80"/>
      <c r="IP18" s="80"/>
      <c r="IQ18" s="80"/>
      <c r="IR18" s="80"/>
      <c r="IS18" s="80"/>
      <c r="IT18" s="80"/>
      <c r="IU18" s="80"/>
      <c r="IV18" s="80"/>
      <c r="IW18" s="80"/>
      <c r="IX18" s="80"/>
    </row>
    <row r="19" spans="1:258" x14ac:dyDescent="0.2">
      <c r="A19" s="78" t="str">
        <f ca="1">Database!E13</f>
        <v>Voltage inputs 115 V / Current inputs 100 mA; full-scale 100 mA (Ith = 2 A)</v>
      </c>
      <c r="B19" s="79"/>
      <c r="C19" s="79"/>
      <c r="D19" s="84"/>
      <c r="E19" s="87"/>
      <c r="F19" s="85" t="str">
        <f ca="1">Database!$F13</f>
        <v>P</v>
      </c>
      <c r="G19" s="72"/>
      <c r="H19" s="75"/>
      <c r="I19" s="76"/>
      <c r="J19" s="77"/>
      <c r="K19" s="75"/>
      <c r="L19" s="76"/>
      <c r="M19" s="195"/>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row>
    <row r="20" spans="1:258" x14ac:dyDescent="0.2">
      <c r="A20" s="78" t="str">
        <f ca="1">Database!E14</f>
        <v>Not installed</v>
      </c>
      <c r="B20" s="79"/>
      <c r="C20" s="79"/>
      <c r="D20" s="84"/>
      <c r="E20" s="87"/>
      <c r="F20" s="85" t="str">
        <f ca="1">Database!$F14</f>
        <v>X</v>
      </c>
      <c r="G20" s="72"/>
      <c r="H20" s="75"/>
      <c r="I20" s="76"/>
      <c r="J20" s="77"/>
      <c r="K20" s="75"/>
      <c r="L20" s="76"/>
      <c r="M20" s="195"/>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c r="IK20" s="80"/>
      <c r="IL20" s="80"/>
      <c r="IM20" s="80"/>
      <c r="IN20" s="80"/>
      <c r="IO20" s="80"/>
      <c r="IP20" s="80"/>
      <c r="IQ20" s="80"/>
      <c r="IR20" s="80"/>
      <c r="IS20" s="80"/>
      <c r="IT20" s="80"/>
      <c r="IU20" s="80"/>
      <c r="IV20" s="80"/>
      <c r="IW20" s="80"/>
      <c r="IX20" s="80"/>
    </row>
    <row r="21" spans="1:258" x14ac:dyDescent="0.2">
      <c r="A21" s="81"/>
      <c r="B21" s="82"/>
      <c r="C21" s="82"/>
      <c r="D21" s="83"/>
      <c r="E21" s="86"/>
      <c r="F21" s="86"/>
      <c r="G21" s="72"/>
      <c r="H21" s="75"/>
      <c r="I21" s="76"/>
      <c r="J21" s="77"/>
      <c r="K21" s="75"/>
      <c r="L21" s="76"/>
      <c r="M21" s="195"/>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c r="IA21" s="80"/>
      <c r="IB21" s="80"/>
      <c r="IC21" s="80"/>
      <c r="ID21" s="80"/>
      <c r="IE21" s="80"/>
      <c r="IF21" s="80"/>
      <c r="IG21" s="80"/>
      <c r="IH21" s="80"/>
      <c r="II21" s="80"/>
      <c r="IJ21" s="80"/>
      <c r="IK21" s="80"/>
      <c r="IL21" s="80"/>
      <c r="IM21" s="80"/>
      <c r="IN21" s="80"/>
      <c r="IO21" s="80"/>
      <c r="IP21" s="80"/>
      <c r="IQ21" s="80"/>
      <c r="IR21" s="80"/>
      <c r="IS21" s="80"/>
      <c r="IT21" s="80"/>
      <c r="IU21" s="80"/>
      <c r="IV21" s="80"/>
      <c r="IW21" s="80"/>
      <c r="IX21" s="80"/>
    </row>
    <row r="22" spans="1:258" x14ac:dyDescent="0.2">
      <c r="A22" s="71" t="str">
        <f ca="1">Database!B19</f>
        <v>Analogue Inputs 5 to 8</v>
      </c>
      <c r="B22" s="79"/>
      <c r="C22" s="79"/>
      <c r="D22" s="84"/>
      <c r="E22" s="87"/>
      <c r="F22" s="87"/>
      <c r="G22" s="72"/>
      <c r="H22" s="75"/>
      <c r="I22" s="76"/>
      <c r="J22" s="77"/>
      <c r="K22" s="75"/>
      <c r="L22" s="76"/>
      <c r="M22" s="195"/>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c r="IG22" s="80"/>
      <c r="IH22" s="80"/>
      <c r="II22" s="80"/>
      <c r="IJ22" s="80"/>
      <c r="IK22" s="80"/>
      <c r="IL22" s="80"/>
      <c r="IM22" s="80"/>
      <c r="IN22" s="80"/>
      <c r="IO22" s="80"/>
      <c r="IP22" s="80"/>
      <c r="IQ22" s="80"/>
      <c r="IR22" s="80"/>
      <c r="IS22" s="80"/>
      <c r="IT22" s="80"/>
      <c r="IU22" s="80"/>
      <c r="IV22" s="80"/>
      <c r="IW22" s="80"/>
      <c r="IX22" s="80"/>
    </row>
    <row r="23" spans="1:258" x14ac:dyDescent="0.2">
      <c r="A23" s="216" t="str">
        <f>'Date Drivers'!$W$9</f>
        <v>Voltage inputs 115 V / Current inputs 1 A; full-scale 20 A (Ith = 40 A) (withdrawn)</v>
      </c>
      <c r="B23" s="88"/>
      <c r="C23" s="88"/>
      <c r="D23" s="89"/>
      <c r="E23" s="90"/>
      <c r="F23" s="90"/>
      <c r="G23" s="217">
        <f>'Date Drivers'!$X$9</f>
        <v>1</v>
      </c>
      <c r="H23" s="75"/>
      <c r="I23" s="76"/>
      <c r="J23" s="77"/>
      <c r="K23" s="75"/>
      <c r="L23" s="76"/>
      <c r="M23" s="195"/>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c r="IG23" s="80"/>
      <c r="IH23" s="80"/>
      <c r="II23" s="80"/>
      <c r="IJ23" s="80"/>
      <c r="IK23" s="80"/>
      <c r="IL23" s="80"/>
      <c r="IM23" s="80"/>
      <c r="IN23" s="80"/>
      <c r="IO23" s="80"/>
      <c r="IP23" s="80"/>
      <c r="IQ23" s="80"/>
      <c r="IR23" s="80"/>
      <c r="IS23" s="80"/>
      <c r="IT23" s="80"/>
      <c r="IU23" s="80"/>
      <c r="IV23" s="80"/>
      <c r="IW23" s="80"/>
      <c r="IX23" s="80"/>
    </row>
    <row r="24" spans="1:258" x14ac:dyDescent="0.2">
      <c r="A24" s="78" t="str">
        <f ca="1">Database!E20</f>
        <v>Voltage inputs 115 V / Current inputs 1 A; full-scale 40 A (Ith = 100 A)</v>
      </c>
      <c r="B24" s="79"/>
      <c r="C24" s="79"/>
      <c r="D24" s="84"/>
      <c r="E24" s="87"/>
      <c r="F24" s="87"/>
      <c r="G24" s="85">
        <f ca="1">Database!$F20</f>
        <v>2</v>
      </c>
      <c r="H24" s="75"/>
      <c r="I24" s="76"/>
      <c r="J24" s="77"/>
      <c r="K24" s="75"/>
      <c r="L24" s="76"/>
      <c r="M24" s="195"/>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c r="HT24" s="80"/>
      <c r="HU24" s="80"/>
      <c r="HV24" s="80"/>
      <c r="HW24" s="80"/>
      <c r="HX24" s="80"/>
      <c r="HY24" s="80"/>
      <c r="HZ24" s="80"/>
      <c r="IA24" s="80"/>
      <c r="IB24" s="80"/>
      <c r="IC24" s="80"/>
      <c r="ID24" s="80"/>
      <c r="IE24" s="80"/>
      <c r="IF24" s="80"/>
      <c r="IG24" s="80"/>
      <c r="IH24" s="80"/>
      <c r="II24" s="80"/>
      <c r="IJ24" s="80"/>
      <c r="IK24" s="80"/>
      <c r="IL24" s="80"/>
      <c r="IM24" s="80"/>
      <c r="IN24" s="80"/>
      <c r="IO24" s="80"/>
      <c r="IP24" s="80"/>
      <c r="IQ24" s="80"/>
      <c r="IR24" s="80"/>
      <c r="IS24" s="80"/>
      <c r="IT24" s="80"/>
      <c r="IU24" s="80"/>
      <c r="IV24" s="80"/>
      <c r="IW24" s="80"/>
      <c r="IX24" s="80"/>
    </row>
    <row r="25" spans="1:258" x14ac:dyDescent="0.2">
      <c r="A25" s="216" t="str">
        <f>'Date Drivers'!$AB$11</f>
        <v>Voltage inputs 115 V / Current inputs 5 A; full-scale 100 A (Ith = 200 A) (withdrawn)</v>
      </c>
      <c r="B25" s="88"/>
      <c r="C25" s="88"/>
      <c r="D25" s="89"/>
      <c r="E25" s="90"/>
      <c r="F25" s="90"/>
      <c r="G25" s="217">
        <f>'Date Drivers'!$AC$11</f>
        <v>5</v>
      </c>
      <c r="H25" s="91"/>
      <c r="I25" s="92"/>
      <c r="J25" s="93"/>
      <c r="K25" s="75"/>
      <c r="L25" s="76"/>
      <c r="M25" s="195"/>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c r="DS25" s="80"/>
      <c r="DT25" s="80"/>
      <c r="DU25" s="80"/>
      <c r="DV25" s="80"/>
      <c r="DW25" s="80"/>
      <c r="DX25" s="80"/>
      <c r="DY25" s="80"/>
      <c r="DZ25" s="80"/>
      <c r="EA25" s="80"/>
      <c r="EB25" s="80"/>
      <c r="EC25" s="80"/>
      <c r="ED25" s="80"/>
      <c r="EE25" s="80"/>
      <c r="EF25" s="80"/>
      <c r="EG25" s="80"/>
      <c r="EH25" s="80"/>
      <c r="EI25" s="80"/>
      <c r="EJ25" s="80"/>
      <c r="EK25" s="80"/>
      <c r="EL25" s="80"/>
      <c r="EM25" s="80"/>
      <c r="EN25" s="80"/>
      <c r="EO25" s="80"/>
      <c r="EP25" s="80"/>
      <c r="EQ25" s="80"/>
      <c r="ER25" s="80"/>
      <c r="ES25" s="80"/>
      <c r="ET25" s="80"/>
      <c r="EU25" s="80"/>
      <c r="EV25" s="80"/>
      <c r="EW25" s="80"/>
      <c r="EX25" s="80"/>
      <c r="EY25" s="80"/>
      <c r="EZ25" s="80"/>
      <c r="FA25" s="80"/>
      <c r="FB25" s="80"/>
      <c r="FC25" s="80"/>
      <c r="FD25" s="80"/>
      <c r="FE25" s="80"/>
      <c r="FF25" s="80"/>
      <c r="FG25" s="80"/>
      <c r="FH25" s="80"/>
      <c r="FI25" s="80"/>
      <c r="FJ25" s="80"/>
      <c r="FK25" s="80"/>
      <c r="FL25" s="80"/>
      <c r="FM25" s="80"/>
      <c r="FN25" s="80"/>
      <c r="FO25" s="80"/>
      <c r="FP25" s="80"/>
      <c r="FQ25" s="80"/>
      <c r="FR25" s="80"/>
      <c r="FS25" s="80"/>
      <c r="FT25" s="80"/>
      <c r="FU25" s="80"/>
      <c r="FV25" s="80"/>
      <c r="FW25" s="80"/>
      <c r="FX25" s="80"/>
      <c r="FY25" s="80"/>
      <c r="FZ25" s="80"/>
      <c r="GA25" s="80"/>
      <c r="GB25" s="80"/>
      <c r="GC25" s="80"/>
      <c r="GD25" s="80"/>
      <c r="GE25" s="80"/>
      <c r="GF25" s="80"/>
      <c r="GG25" s="80"/>
      <c r="GH25" s="80"/>
      <c r="GI25" s="80"/>
      <c r="GJ25" s="80"/>
      <c r="GK25" s="80"/>
      <c r="GL25" s="80"/>
      <c r="GM25" s="80"/>
      <c r="GN25" s="80"/>
      <c r="GO25" s="80"/>
      <c r="GP25" s="80"/>
      <c r="GQ25" s="80"/>
      <c r="GR25" s="80"/>
      <c r="GS25" s="80"/>
      <c r="GT25" s="80"/>
      <c r="GU25" s="80"/>
      <c r="GV25" s="80"/>
      <c r="GW25" s="80"/>
      <c r="GX25" s="80"/>
      <c r="GY25" s="80"/>
      <c r="GZ25" s="80"/>
      <c r="HA25" s="80"/>
      <c r="HB25" s="80"/>
      <c r="HC25" s="80"/>
      <c r="HD25" s="80"/>
      <c r="HE25" s="80"/>
      <c r="HF25" s="80"/>
      <c r="HG25" s="80"/>
      <c r="HH25" s="80"/>
      <c r="HI25" s="80"/>
      <c r="HJ25" s="80"/>
      <c r="HK25" s="80"/>
      <c r="HL25" s="80"/>
      <c r="HM25" s="80"/>
      <c r="HN25" s="80"/>
      <c r="HO25" s="80"/>
      <c r="HP25" s="80"/>
      <c r="HQ25" s="80"/>
      <c r="HR25" s="80"/>
      <c r="HS25" s="80"/>
      <c r="HT25" s="80"/>
      <c r="HU25" s="80"/>
      <c r="HV25" s="80"/>
      <c r="HW25" s="80"/>
      <c r="HX25" s="80"/>
      <c r="HY25" s="80"/>
      <c r="HZ25" s="80"/>
      <c r="IA25" s="80"/>
      <c r="IB25" s="80"/>
      <c r="IC25" s="80"/>
      <c r="ID25" s="80"/>
      <c r="IE25" s="80"/>
      <c r="IF25" s="80"/>
      <c r="IG25" s="80"/>
      <c r="IH25" s="80"/>
      <c r="II25" s="80"/>
      <c r="IJ25" s="80"/>
      <c r="IK25" s="80"/>
      <c r="IL25" s="80"/>
      <c r="IM25" s="80"/>
      <c r="IN25" s="80"/>
      <c r="IO25" s="80"/>
      <c r="IP25" s="80"/>
      <c r="IQ25" s="80"/>
      <c r="IR25" s="80"/>
      <c r="IS25" s="80"/>
      <c r="IT25" s="80"/>
      <c r="IU25" s="80"/>
      <c r="IV25" s="80"/>
      <c r="IW25" s="80"/>
      <c r="IX25" s="80"/>
    </row>
    <row r="26" spans="1:258" x14ac:dyDescent="0.2">
      <c r="A26" s="78" t="str">
        <f ca="1">Database!E21</f>
        <v>Voltage inputs 115 V / Current inputs 5 A; full-scale 200 A (Ith = 200 A)</v>
      </c>
      <c r="B26" s="79"/>
      <c r="C26" s="79"/>
      <c r="D26" s="84"/>
      <c r="E26" s="87"/>
      <c r="F26" s="87"/>
      <c r="G26" s="85">
        <f ca="1">Database!$F21</f>
        <v>6</v>
      </c>
      <c r="H26" s="75"/>
      <c r="I26" s="76"/>
      <c r="J26" s="77"/>
      <c r="K26" s="75"/>
      <c r="L26" s="76"/>
      <c r="M26" s="195"/>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c r="DK26" s="80"/>
      <c r="DL26" s="80"/>
      <c r="DM26" s="80"/>
      <c r="DN26" s="80"/>
      <c r="DO26" s="80"/>
      <c r="DP26" s="80"/>
      <c r="DQ26" s="80"/>
      <c r="DR26" s="80"/>
      <c r="DS26" s="8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80"/>
      <c r="EX26" s="80"/>
      <c r="EY26" s="80"/>
      <c r="EZ26" s="80"/>
      <c r="FA26" s="80"/>
      <c r="FB26" s="80"/>
      <c r="FC26" s="80"/>
      <c r="FD26" s="80"/>
      <c r="FE26" s="80"/>
      <c r="FF26" s="80"/>
      <c r="FG26" s="80"/>
      <c r="FH26" s="80"/>
      <c r="FI26" s="80"/>
      <c r="FJ26" s="80"/>
      <c r="FK26" s="80"/>
      <c r="FL26" s="80"/>
      <c r="FM26" s="80"/>
      <c r="FN26" s="80"/>
      <c r="FO26" s="80"/>
      <c r="FP26" s="80"/>
      <c r="FQ26" s="80"/>
      <c r="FR26" s="80"/>
      <c r="FS26" s="80"/>
      <c r="FT26" s="80"/>
      <c r="FU26" s="80"/>
      <c r="FV26" s="80"/>
      <c r="FW26" s="80"/>
      <c r="FX26" s="80"/>
      <c r="FY26" s="80"/>
      <c r="FZ26" s="80"/>
      <c r="GA26" s="80"/>
      <c r="GB26" s="80"/>
      <c r="GC26" s="80"/>
      <c r="GD26" s="80"/>
      <c r="GE26" s="80"/>
      <c r="GF26" s="80"/>
      <c r="GG26" s="80"/>
      <c r="GH26" s="80"/>
      <c r="GI26" s="80"/>
      <c r="GJ26" s="80"/>
      <c r="GK26" s="80"/>
      <c r="GL26" s="80"/>
      <c r="GM26" s="80"/>
      <c r="GN26" s="80"/>
      <c r="GO26" s="80"/>
      <c r="GP26" s="80"/>
      <c r="GQ26" s="80"/>
      <c r="GR26" s="80"/>
      <c r="GS26" s="80"/>
      <c r="GT26" s="80"/>
      <c r="GU26" s="80"/>
      <c r="GV26" s="80"/>
      <c r="GW26" s="80"/>
      <c r="GX26" s="80"/>
      <c r="GY26" s="80"/>
      <c r="GZ26" s="80"/>
      <c r="HA26" s="80"/>
      <c r="HB26" s="80"/>
      <c r="HC26" s="80"/>
      <c r="HD26" s="80"/>
      <c r="HE26" s="80"/>
      <c r="HF26" s="80"/>
      <c r="HG26" s="80"/>
      <c r="HH26" s="80"/>
      <c r="HI26" s="80"/>
      <c r="HJ26" s="80"/>
      <c r="HK26" s="80"/>
      <c r="HL26" s="80"/>
      <c r="HM26" s="80"/>
      <c r="HN26" s="80"/>
      <c r="HO26" s="80"/>
      <c r="HP26" s="80"/>
      <c r="HQ26" s="80"/>
      <c r="HR26" s="80"/>
      <c r="HS26" s="80"/>
      <c r="HT26" s="80"/>
      <c r="HU26" s="80"/>
      <c r="HV26" s="80"/>
      <c r="HW26" s="80"/>
      <c r="HX26" s="80"/>
      <c r="HY26" s="80"/>
      <c r="HZ26" s="80"/>
      <c r="IA26" s="80"/>
      <c r="IB26" s="80"/>
      <c r="IC26" s="80"/>
      <c r="ID26" s="80"/>
      <c r="IE26" s="80"/>
      <c r="IF26" s="80"/>
      <c r="IG26" s="80"/>
      <c r="IH26" s="80"/>
      <c r="II26" s="80"/>
      <c r="IJ26" s="80"/>
      <c r="IK26" s="80"/>
      <c r="IL26" s="80"/>
      <c r="IM26" s="80"/>
      <c r="IN26" s="80"/>
      <c r="IO26" s="80"/>
      <c r="IP26" s="80"/>
      <c r="IQ26" s="80"/>
      <c r="IR26" s="80"/>
      <c r="IS26" s="80"/>
      <c r="IT26" s="80"/>
      <c r="IU26" s="80"/>
      <c r="IV26" s="80"/>
      <c r="IW26" s="80"/>
      <c r="IX26" s="80"/>
    </row>
    <row r="27" spans="1:258" x14ac:dyDescent="0.2">
      <c r="A27" s="216" t="str">
        <f>'Date Drivers'!$W$13</f>
        <v>Voltage inputs 115 V / Current inputs 5 A; full-scale 14 A (Ith = 32 A) (withdrawn)</v>
      </c>
      <c r="B27" s="88"/>
      <c r="C27" s="88"/>
      <c r="D27" s="89"/>
      <c r="E27" s="90"/>
      <c r="F27" s="90"/>
      <c r="G27" s="217" t="str">
        <f>'Date Drivers'!$X$13</f>
        <v>T</v>
      </c>
      <c r="H27" s="75"/>
      <c r="I27" s="76"/>
      <c r="J27" s="77"/>
      <c r="K27" s="75"/>
      <c r="L27" s="76"/>
      <c r="M27" s="195"/>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c r="DI27" s="80"/>
      <c r="DJ27" s="80"/>
      <c r="DK27" s="80"/>
      <c r="DL27" s="80"/>
      <c r="DM27" s="80"/>
      <c r="DN27" s="80"/>
      <c r="DO27" s="80"/>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80"/>
      <c r="ET27" s="80"/>
      <c r="EU27" s="80"/>
      <c r="EV27" s="80"/>
      <c r="EW27" s="80"/>
      <c r="EX27" s="80"/>
      <c r="EY27" s="80"/>
      <c r="EZ27" s="80"/>
      <c r="FA27" s="80"/>
      <c r="FB27" s="80"/>
      <c r="FC27" s="80"/>
      <c r="FD27" s="80"/>
      <c r="FE27" s="80"/>
      <c r="FF27" s="80"/>
      <c r="FG27" s="80"/>
      <c r="FH27" s="80"/>
      <c r="FI27" s="80"/>
      <c r="FJ27" s="80"/>
      <c r="FK27" s="80"/>
      <c r="FL27" s="80"/>
      <c r="FM27" s="80"/>
      <c r="FN27" s="80"/>
      <c r="FO27" s="80"/>
      <c r="FP27" s="80"/>
      <c r="FQ27" s="80"/>
      <c r="FR27" s="80"/>
      <c r="FS27" s="80"/>
      <c r="FT27" s="80"/>
      <c r="FU27" s="80"/>
      <c r="FV27" s="80"/>
      <c r="FW27" s="80"/>
      <c r="FX27" s="80"/>
      <c r="FY27" s="80"/>
      <c r="FZ27" s="80"/>
      <c r="GA27" s="80"/>
      <c r="GB27" s="80"/>
      <c r="GC27" s="80"/>
      <c r="GD27" s="80"/>
      <c r="GE27" s="80"/>
      <c r="GF27" s="80"/>
      <c r="GG27" s="80"/>
      <c r="GH27" s="80"/>
      <c r="GI27" s="80"/>
      <c r="GJ27" s="80"/>
      <c r="GK27" s="80"/>
      <c r="GL27" s="80"/>
      <c r="GM27" s="80"/>
      <c r="GN27" s="80"/>
      <c r="GO27" s="80"/>
      <c r="GP27" s="80"/>
      <c r="GQ27" s="80"/>
      <c r="GR27" s="80"/>
      <c r="GS27" s="80"/>
      <c r="GT27" s="80"/>
      <c r="GU27" s="80"/>
      <c r="GV27" s="80"/>
      <c r="GW27" s="80"/>
      <c r="GX27" s="80"/>
      <c r="GY27" s="80"/>
      <c r="GZ27" s="80"/>
      <c r="HA27" s="80"/>
      <c r="HB27" s="80"/>
      <c r="HC27" s="80"/>
      <c r="HD27" s="80"/>
      <c r="HE27" s="80"/>
      <c r="HF27" s="80"/>
      <c r="HG27" s="80"/>
      <c r="HH27" s="80"/>
      <c r="HI27" s="80"/>
      <c r="HJ27" s="80"/>
      <c r="HK27" s="80"/>
      <c r="HL27" s="80"/>
      <c r="HM27" s="80"/>
      <c r="HN27" s="80"/>
      <c r="HO27" s="80"/>
      <c r="HP27" s="80"/>
      <c r="HQ27" s="80"/>
      <c r="HR27" s="80"/>
      <c r="HS27" s="80"/>
      <c r="HT27" s="80"/>
      <c r="HU27" s="80"/>
      <c r="HV27" s="80"/>
      <c r="HW27" s="80"/>
      <c r="HX27" s="80"/>
      <c r="HY27" s="80"/>
      <c r="HZ27" s="80"/>
      <c r="IA27" s="80"/>
      <c r="IB27" s="80"/>
      <c r="IC27" s="80"/>
      <c r="ID27" s="80"/>
      <c r="IE27" s="80"/>
      <c r="IF27" s="80"/>
      <c r="IG27" s="80"/>
      <c r="IH27" s="80"/>
      <c r="II27" s="80"/>
      <c r="IJ27" s="80"/>
      <c r="IK27" s="80"/>
      <c r="IL27" s="80"/>
      <c r="IM27" s="80"/>
      <c r="IN27" s="80"/>
      <c r="IO27" s="80"/>
      <c r="IP27" s="80"/>
      <c r="IQ27" s="80"/>
      <c r="IR27" s="80"/>
      <c r="IS27" s="80"/>
      <c r="IT27" s="80"/>
      <c r="IU27" s="80"/>
      <c r="IV27" s="80"/>
      <c r="IW27" s="80"/>
      <c r="IX27" s="80"/>
    </row>
    <row r="28" spans="1:258" x14ac:dyDescent="0.2">
      <c r="A28" s="78" t="str">
        <f ca="1">Database!E22</f>
        <v>Voltage inputs ±10 Vdc / Current inputs 0-20 mAdc</v>
      </c>
      <c r="B28" s="79"/>
      <c r="C28" s="79"/>
      <c r="D28" s="84"/>
      <c r="E28" s="87"/>
      <c r="F28" s="87"/>
      <c r="G28" s="85" t="str">
        <f ca="1">Database!$F22</f>
        <v>D</v>
      </c>
      <c r="H28" s="75"/>
      <c r="I28" s="76"/>
      <c r="J28" s="77"/>
      <c r="K28" s="75"/>
      <c r="L28" s="76"/>
      <c r="M28" s="195"/>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c r="EN28" s="80"/>
      <c r="EO28" s="80"/>
      <c r="EP28" s="80"/>
      <c r="EQ28" s="80"/>
      <c r="ER28" s="80"/>
      <c r="ES28" s="80"/>
      <c r="ET28" s="80"/>
      <c r="EU28" s="80"/>
      <c r="EV28" s="80"/>
      <c r="EW28" s="80"/>
      <c r="EX28" s="80"/>
      <c r="EY28" s="80"/>
      <c r="EZ28" s="80"/>
      <c r="FA28" s="80"/>
      <c r="FB28" s="80"/>
      <c r="FC28" s="80"/>
      <c r="FD28" s="80"/>
      <c r="FE28" s="80"/>
      <c r="FF28" s="80"/>
      <c r="FG28" s="80"/>
      <c r="FH28" s="80"/>
      <c r="FI28" s="80"/>
      <c r="FJ28" s="80"/>
      <c r="FK28" s="80"/>
      <c r="FL28" s="80"/>
      <c r="FM28" s="80"/>
      <c r="FN28" s="80"/>
      <c r="FO28" s="80"/>
      <c r="FP28" s="80"/>
      <c r="FQ28" s="80"/>
      <c r="FR28" s="80"/>
      <c r="FS28" s="80"/>
      <c r="FT28" s="80"/>
      <c r="FU28" s="80"/>
      <c r="FV28" s="80"/>
      <c r="FW28" s="80"/>
      <c r="FX28" s="80"/>
      <c r="FY28" s="80"/>
      <c r="FZ28" s="80"/>
      <c r="GA28" s="80"/>
      <c r="GB28" s="80"/>
      <c r="GC28" s="80"/>
      <c r="GD28" s="80"/>
      <c r="GE28" s="80"/>
      <c r="GF28" s="80"/>
      <c r="GG28" s="80"/>
      <c r="GH28" s="80"/>
      <c r="GI28" s="80"/>
      <c r="GJ28" s="80"/>
      <c r="GK28" s="80"/>
      <c r="GL28" s="80"/>
      <c r="GM28" s="80"/>
      <c r="GN28" s="80"/>
      <c r="GO28" s="80"/>
      <c r="GP28" s="80"/>
      <c r="GQ28" s="80"/>
      <c r="GR28" s="80"/>
      <c r="GS28" s="80"/>
      <c r="GT28" s="80"/>
      <c r="GU28" s="80"/>
      <c r="GV28" s="80"/>
      <c r="GW28" s="80"/>
      <c r="GX28" s="80"/>
      <c r="GY28" s="80"/>
      <c r="GZ28" s="80"/>
      <c r="HA28" s="80"/>
      <c r="HB28" s="80"/>
      <c r="HC28" s="80"/>
      <c r="HD28" s="80"/>
      <c r="HE28" s="80"/>
      <c r="HF28" s="80"/>
      <c r="HG28" s="80"/>
      <c r="HH28" s="80"/>
      <c r="HI28" s="80"/>
      <c r="HJ28" s="80"/>
      <c r="HK28" s="80"/>
      <c r="HL28" s="80"/>
      <c r="HM28" s="80"/>
      <c r="HN28" s="80"/>
      <c r="HO28" s="80"/>
      <c r="HP28" s="80"/>
      <c r="HQ28" s="80"/>
      <c r="HR28" s="80"/>
      <c r="HS28" s="80"/>
      <c r="HT28" s="80"/>
      <c r="HU28" s="80"/>
      <c r="HV28" s="80"/>
      <c r="HW28" s="80"/>
      <c r="HX28" s="80"/>
      <c r="HY28" s="80"/>
      <c r="HZ28" s="80"/>
      <c r="IA28" s="80"/>
      <c r="IB28" s="80"/>
      <c r="IC28" s="80"/>
      <c r="ID28" s="80"/>
      <c r="IE28" s="80"/>
      <c r="IF28" s="80"/>
      <c r="IG28" s="80"/>
      <c r="IH28" s="80"/>
      <c r="II28" s="80"/>
      <c r="IJ28" s="80"/>
      <c r="IK28" s="80"/>
      <c r="IL28" s="80"/>
      <c r="IM28" s="80"/>
      <c r="IN28" s="80"/>
      <c r="IO28" s="80"/>
      <c r="IP28" s="80"/>
      <c r="IQ28" s="80"/>
      <c r="IR28" s="80"/>
      <c r="IS28" s="80"/>
      <c r="IT28" s="80"/>
      <c r="IU28" s="80"/>
      <c r="IV28" s="80"/>
      <c r="IW28" s="80"/>
      <c r="IX28" s="80"/>
    </row>
    <row r="29" spans="1:258" x14ac:dyDescent="0.2">
      <c r="A29" s="78" t="str">
        <f ca="1">Database!E23</f>
        <v>Voltage inputs 115 V / Current inputs 100 mA; full-scale 100 mA (Ith = 2 A)</v>
      </c>
      <c r="B29" s="79"/>
      <c r="C29" s="79"/>
      <c r="D29" s="84"/>
      <c r="E29" s="87"/>
      <c r="F29" s="87"/>
      <c r="G29" s="85" t="str">
        <f ca="1">Database!$F23</f>
        <v>P</v>
      </c>
      <c r="H29" s="75"/>
      <c r="I29" s="76"/>
      <c r="J29" s="77"/>
      <c r="K29" s="75"/>
      <c r="L29" s="76"/>
      <c r="M29" s="195"/>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c r="EO29" s="80"/>
      <c r="EP29" s="80"/>
      <c r="EQ29" s="80"/>
      <c r="ER29" s="80"/>
      <c r="ES29" s="80"/>
      <c r="ET29" s="80"/>
      <c r="EU29" s="80"/>
      <c r="EV29" s="80"/>
      <c r="EW29" s="80"/>
      <c r="EX29" s="80"/>
      <c r="EY29" s="80"/>
      <c r="EZ29" s="80"/>
      <c r="FA29" s="80"/>
      <c r="FB29" s="80"/>
      <c r="FC29" s="80"/>
      <c r="FD29" s="80"/>
      <c r="FE29" s="80"/>
      <c r="FF29" s="80"/>
      <c r="FG29" s="80"/>
      <c r="FH29" s="80"/>
      <c r="FI29" s="80"/>
      <c r="FJ29" s="80"/>
      <c r="FK29" s="80"/>
      <c r="FL29" s="80"/>
      <c r="FM29" s="80"/>
      <c r="FN29" s="80"/>
      <c r="FO29" s="80"/>
      <c r="FP29" s="80"/>
      <c r="FQ29" s="80"/>
      <c r="FR29" s="80"/>
      <c r="FS29" s="80"/>
      <c r="FT29" s="80"/>
      <c r="FU29" s="80"/>
      <c r="FV29" s="80"/>
      <c r="FW29" s="80"/>
      <c r="FX29" s="80"/>
      <c r="FY29" s="80"/>
      <c r="FZ29" s="80"/>
      <c r="GA29" s="80"/>
      <c r="GB29" s="80"/>
      <c r="GC29" s="80"/>
      <c r="GD29" s="80"/>
      <c r="GE29" s="80"/>
      <c r="GF29" s="80"/>
      <c r="GG29" s="80"/>
      <c r="GH29" s="80"/>
      <c r="GI29" s="80"/>
      <c r="GJ29" s="80"/>
      <c r="GK29" s="80"/>
      <c r="GL29" s="80"/>
      <c r="GM29" s="80"/>
      <c r="GN29" s="80"/>
      <c r="GO29" s="80"/>
      <c r="GP29" s="80"/>
      <c r="GQ29" s="80"/>
      <c r="GR29" s="80"/>
      <c r="GS29" s="80"/>
      <c r="GT29" s="80"/>
      <c r="GU29" s="80"/>
      <c r="GV29" s="80"/>
      <c r="GW29" s="80"/>
      <c r="GX29" s="80"/>
      <c r="GY29" s="80"/>
      <c r="GZ29" s="80"/>
      <c r="HA29" s="80"/>
      <c r="HB29" s="80"/>
      <c r="HC29" s="80"/>
      <c r="HD29" s="80"/>
      <c r="HE29" s="80"/>
      <c r="HF29" s="80"/>
      <c r="HG29" s="80"/>
      <c r="HH29" s="80"/>
      <c r="HI29" s="80"/>
      <c r="HJ29" s="80"/>
      <c r="HK29" s="80"/>
      <c r="HL29" s="80"/>
      <c r="HM29" s="80"/>
      <c r="HN29" s="80"/>
      <c r="HO29" s="80"/>
      <c r="HP29" s="80"/>
      <c r="HQ29" s="80"/>
      <c r="HR29" s="80"/>
      <c r="HS29" s="80"/>
      <c r="HT29" s="80"/>
      <c r="HU29" s="80"/>
      <c r="HV29" s="80"/>
      <c r="HW29" s="80"/>
      <c r="HX29" s="80"/>
      <c r="HY29" s="80"/>
      <c r="HZ29" s="80"/>
      <c r="IA29" s="80"/>
      <c r="IB29" s="80"/>
      <c r="IC29" s="80"/>
      <c r="ID29" s="80"/>
      <c r="IE29" s="80"/>
      <c r="IF29" s="80"/>
      <c r="IG29" s="80"/>
      <c r="IH29" s="80"/>
      <c r="II29" s="80"/>
      <c r="IJ29" s="80"/>
      <c r="IK29" s="80"/>
      <c r="IL29" s="80"/>
      <c r="IM29" s="80"/>
      <c r="IN29" s="80"/>
      <c r="IO29" s="80"/>
      <c r="IP29" s="80"/>
      <c r="IQ29" s="80"/>
      <c r="IR29" s="80"/>
      <c r="IS29" s="80"/>
      <c r="IT29" s="80"/>
      <c r="IU29" s="80"/>
      <c r="IV29" s="80"/>
      <c r="IW29" s="80"/>
      <c r="IX29" s="80"/>
    </row>
    <row r="30" spans="1:258" x14ac:dyDescent="0.2">
      <c r="A30" s="78" t="str">
        <f ca="1">Database!E24</f>
        <v>Not installed</v>
      </c>
      <c r="B30" s="79"/>
      <c r="C30" s="79"/>
      <c r="D30" s="84"/>
      <c r="E30" s="87"/>
      <c r="F30" s="87"/>
      <c r="G30" s="85" t="str">
        <f ca="1">Database!$F24</f>
        <v>X</v>
      </c>
      <c r="H30" s="75"/>
      <c r="I30" s="76"/>
      <c r="J30" s="77"/>
      <c r="K30" s="75"/>
      <c r="L30" s="76"/>
      <c r="M30" s="195"/>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c r="EO30" s="80"/>
      <c r="EP30" s="80"/>
      <c r="EQ30" s="80"/>
      <c r="ER30" s="80"/>
      <c r="ES30" s="80"/>
      <c r="ET30" s="80"/>
      <c r="EU30" s="80"/>
      <c r="EV30" s="80"/>
      <c r="EW30" s="80"/>
      <c r="EX30" s="80"/>
      <c r="EY30" s="80"/>
      <c r="EZ30" s="80"/>
      <c r="FA30" s="80"/>
      <c r="FB30" s="80"/>
      <c r="FC30" s="80"/>
      <c r="FD30" s="80"/>
      <c r="FE30" s="80"/>
      <c r="FF30" s="80"/>
      <c r="FG30" s="80"/>
      <c r="FH30" s="80"/>
      <c r="FI30" s="80"/>
      <c r="FJ30" s="80"/>
      <c r="FK30" s="80"/>
      <c r="FL30" s="80"/>
      <c r="FM30" s="80"/>
      <c r="FN30" s="80"/>
      <c r="FO30" s="80"/>
      <c r="FP30" s="80"/>
      <c r="FQ30" s="80"/>
      <c r="FR30" s="80"/>
      <c r="FS30" s="80"/>
      <c r="FT30" s="80"/>
      <c r="FU30" s="80"/>
      <c r="FV30" s="80"/>
      <c r="FW30" s="80"/>
      <c r="FX30" s="80"/>
      <c r="FY30" s="80"/>
      <c r="FZ30" s="80"/>
      <c r="GA30" s="80"/>
      <c r="GB30" s="80"/>
      <c r="GC30" s="80"/>
      <c r="GD30" s="80"/>
      <c r="GE30" s="80"/>
      <c r="GF30" s="80"/>
      <c r="GG30" s="80"/>
      <c r="GH30" s="80"/>
      <c r="GI30" s="80"/>
      <c r="GJ30" s="80"/>
      <c r="GK30" s="80"/>
      <c r="GL30" s="80"/>
      <c r="GM30" s="80"/>
      <c r="GN30" s="80"/>
      <c r="GO30" s="80"/>
      <c r="GP30" s="80"/>
      <c r="GQ30" s="80"/>
      <c r="GR30" s="80"/>
      <c r="GS30" s="80"/>
      <c r="GT30" s="80"/>
      <c r="GU30" s="80"/>
      <c r="GV30" s="80"/>
      <c r="GW30" s="80"/>
      <c r="GX30" s="80"/>
      <c r="GY30" s="80"/>
      <c r="GZ30" s="80"/>
      <c r="HA30" s="80"/>
      <c r="HB30" s="80"/>
      <c r="HC30" s="80"/>
      <c r="HD30" s="80"/>
      <c r="HE30" s="80"/>
      <c r="HF30" s="80"/>
      <c r="HG30" s="80"/>
      <c r="HH30" s="80"/>
      <c r="HI30" s="80"/>
      <c r="HJ30" s="80"/>
      <c r="HK30" s="80"/>
      <c r="HL30" s="80"/>
      <c r="HM30" s="80"/>
      <c r="HN30" s="80"/>
      <c r="HO30" s="80"/>
      <c r="HP30" s="80"/>
      <c r="HQ30" s="80"/>
      <c r="HR30" s="80"/>
      <c r="HS30" s="80"/>
      <c r="HT30" s="80"/>
      <c r="HU30" s="80"/>
      <c r="HV30" s="80"/>
      <c r="HW30" s="80"/>
      <c r="HX30" s="80"/>
      <c r="HY30" s="80"/>
      <c r="HZ30" s="80"/>
      <c r="IA30" s="80"/>
      <c r="IB30" s="80"/>
      <c r="IC30" s="80"/>
      <c r="ID30" s="80"/>
      <c r="IE30" s="80"/>
      <c r="IF30" s="80"/>
      <c r="IG30" s="80"/>
      <c r="IH30" s="80"/>
      <c r="II30" s="80"/>
      <c r="IJ30" s="80"/>
      <c r="IK30" s="80"/>
      <c r="IL30" s="80"/>
      <c r="IM30" s="80"/>
      <c r="IN30" s="80"/>
      <c r="IO30" s="80"/>
      <c r="IP30" s="80"/>
      <c r="IQ30" s="80"/>
      <c r="IR30" s="80"/>
      <c r="IS30" s="80"/>
      <c r="IT30" s="80"/>
      <c r="IU30" s="80"/>
      <c r="IV30" s="80"/>
      <c r="IW30" s="80"/>
      <c r="IX30" s="80"/>
    </row>
    <row r="31" spans="1:258" x14ac:dyDescent="0.2">
      <c r="A31" s="81"/>
      <c r="B31" s="82"/>
      <c r="C31" s="82"/>
      <c r="D31" s="83"/>
      <c r="E31" s="86"/>
      <c r="F31" s="86"/>
      <c r="G31" s="86"/>
      <c r="H31" s="75"/>
      <c r="I31" s="76"/>
      <c r="J31" s="77"/>
      <c r="K31" s="75"/>
      <c r="L31" s="76"/>
      <c r="M31" s="195"/>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c r="EO31" s="80"/>
      <c r="EP31" s="80"/>
      <c r="EQ31" s="80"/>
      <c r="ER31" s="80"/>
      <c r="ES31" s="80"/>
      <c r="ET31" s="80"/>
      <c r="EU31" s="80"/>
      <c r="EV31" s="80"/>
      <c r="EW31" s="80"/>
      <c r="EX31" s="80"/>
      <c r="EY31" s="80"/>
      <c r="EZ31" s="80"/>
      <c r="FA31" s="80"/>
      <c r="FB31" s="80"/>
      <c r="FC31" s="80"/>
      <c r="FD31" s="80"/>
      <c r="FE31" s="80"/>
      <c r="FF31" s="80"/>
      <c r="FG31" s="80"/>
      <c r="FH31" s="80"/>
      <c r="FI31" s="80"/>
      <c r="FJ31" s="80"/>
      <c r="FK31" s="80"/>
      <c r="FL31" s="80"/>
      <c r="FM31" s="80"/>
      <c r="FN31" s="80"/>
      <c r="FO31" s="80"/>
      <c r="FP31" s="80"/>
      <c r="FQ31" s="80"/>
      <c r="FR31" s="80"/>
      <c r="FS31" s="80"/>
      <c r="FT31" s="80"/>
      <c r="FU31" s="80"/>
      <c r="FV31" s="80"/>
      <c r="FW31" s="80"/>
      <c r="FX31" s="80"/>
      <c r="FY31" s="80"/>
      <c r="FZ31" s="80"/>
      <c r="GA31" s="80"/>
      <c r="GB31" s="80"/>
      <c r="GC31" s="80"/>
      <c r="GD31" s="80"/>
      <c r="GE31" s="80"/>
      <c r="GF31" s="80"/>
      <c r="GG31" s="80"/>
      <c r="GH31" s="80"/>
      <c r="GI31" s="80"/>
      <c r="GJ31" s="80"/>
      <c r="GK31" s="80"/>
      <c r="GL31" s="80"/>
      <c r="GM31" s="80"/>
      <c r="GN31" s="80"/>
      <c r="GO31" s="80"/>
      <c r="GP31" s="80"/>
      <c r="GQ31" s="80"/>
      <c r="GR31" s="80"/>
      <c r="GS31" s="80"/>
      <c r="GT31" s="80"/>
      <c r="GU31" s="80"/>
      <c r="GV31" s="80"/>
      <c r="GW31" s="80"/>
      <c r="GX31" s="80"/>
      <c r="GY31" s="80"/>
      <c r="GZ31" s="80"/>
      <c r="HA31" s="80"/>
      <c r="HB31" s="80"/>
      <c r="HC31" s="80"/>
      <c r="HD31" s="80"/>
      <c r="HE31" s="80"/>
      <c r="HF31" s="80"/>
      <c r="HG31" s="80"/>
      <c r="HH31" s="80"/>
      <c r="HI31" s="80"/>
      <c r="HJ31" s="80"/>
      <c r="HK31" s="80"/>
      <c r="HL31" s="80"/>
      <c r="HM31" s="80"/>
      <c r="HN31" s="80"/>
      <c r="HO31" s="80"/>
      <c r="HP31" s="80"/>
      <c r="HQ31" s="80"/>
      <c r="HR31" s="80"/>
      <c r="HS31" s="80"/>
      <c r="HT31" s="80"/>
      <c r="HU31" s="80"/>
      <c r="HV31" s="80"/>
      <c r="HW31" s="80"/>
      <c r="HX31" s="80"/>
      <c r="HY31" s="80"/>
      <c r="HZ31" s="80"/>
      <c r="IA31" s="80"/>
      <c r="IB31" s="80"/>
      <c r="IC31" s="80"/>
      <c r="ID31" s="80"/>
      <c r="IE31" s="80"/>
      <c r="IF31" s="80"/>
      <c r="IG31" s="80"/>
      <c r="IH31" s="80"/>
      <c r="II31" s="80"/>
      <c r="IJ31" s="80"/>
      <c r="IK31" s="80"/>
      <c r="IL31" s="80"/>
      <c r="IM31" s="80"/>
      <c r="IN31" s="80"/>
      <c r="IO31" s="80"/>
      <c r="IP31" s="80"/>
      <c r="IQ31" s="80"/>
      <c r="IR31" s="80"/>
      <c r="IS31" s="80"/>
      <c r="IT31" s="80"/>
      <c r="IU31" s="80"/>
      <c r="IV31" s="80"/>
      <c r="IW31" s="80"/>
      <c r="IX31" s="80"/>
    </row>
    <row r="32" spans="1:258" x14ac:dyDescent="0.2">
      <c r="A32" s="71" t="str">
        <f ca="1">Database!B29</f>
        <v>Analogue Inputs 9 to 12</v>
      </c>
      <c r="B32" s="67"/>
      <c r="C32" s="79"/>
      <c r="D32" s="84"/>
      <c r="E32" s="87"/>
      <c r="F32" s="87"/>
      <c r="G32" s="87"/>
      <c r="H32" s="75"/>
      <c r="I32" s="76"/>
      <c r="J32" s="77"/>
      <c r="K32" s="75"/>
      <c r="L32" s="76"/>
      <c r="M32" s="195"/>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c r="EO32" s="80"/>
      <c r="EP32" s="80"/>
      <c r="EQ32" s="80"/>
      <c r="ER32" s="80"/>
      <c r="ES32" s="80"/>
      <c r="ET32" s="80"/>
      <c r="EU32" s="80"/>
      <c r="EV32" s="80"/>
      <c r="EW32" s="80"/>
      <c r="EX32" s="80"/>
      <c r="EY32" s="80"/>
      <c r="EZ32" s="80"/>
      <c r="FA32" s="80"/>
      <c r="FB32" s="80"/>
      <c r="FC32" s="80"/>
      <c r="FD32" s="80"/>
      <c r="FE32" s="80"/>
      <c r="FF32" s="80"/>
      <c r="FG32" s="80"/>
      <c r="FH32" s="80"/>
      <c r="FI32" s="80"/>
      <c r="FJ32" s="80"/>
      <c r="FK32" s="80"/>
      <c r="FL32" s="80"/>
      <c r="FM32" s="80"/>
      <c r="FN32" s="80"/>
      <c r="FO32" s="80"/>
      <c r="FP32" s="80"/>
      <c r="FQ32" s="80"/>
      <c r="FR32" s="80"/>
      <c r="FS32" s="80"/>
      <c r="FT32" s="80"/>
      <c r="FU32" s="80"/>
      <c r="FV32" s="80"/>
      <c r="FW32" s="80"/>
      <c r="FX32" s="80"/>
      <c r="FY32" s="80"/>
      <c r="FZ32" s="80"/>
      <c r="GA32" s="80"/>
      <c r="GB32" s="80"/>
      <c r="GC32" s="80"/>
      <c r="GD32" s="80"/>
      <c r="GE32" s="80"/>
      <c r="GF32" s="80"/>
      <c r="GG32" s="80"/>
      <c r="GH32" s="80"/>
      <c r="GI32" s="80"/>
      <c r="GJ32" s="80"/>
      <c r="GK32" s="80"/>
      <c r="GL32" s="80"/>
      <c r="GM32" s="80"/>
      <c r="GN32" s="80"/>
      <c r="GO32" s="80"/>
      <c r="GP32" s="80"/>
      <c r="GQ32" s="80"/>
      <c r="GR32" s="80"/>
      <c r="GS32" s="80"/>
      <c r="GT32" s="80"/>
      <c r="GU32" s="80"/>
      <c r="GV32" s="80"/>
      <c r="GW32" s="80"/>
      <c r="GX32" s="80"/>
      <c r="GY32" s="80"/>
      <c r="GZ32" s="80"/>
      <c r="HA32" s="80"/>
      <c r="HB32" s="80"/>
      <c r="HC32" s="80"/>
      <c r="HD32" s="80"/>
      <c r="HE32" s="80"/>
      <c r="HF32" s="80"/>
      <c r="HG32" s="80"/>
      <c r="HH32" s="80"/>
      <c r="HI32" s="80"/>
      <c r="HJ32" s="80"/>
      <c r="HK32" s="80"/>
      <c r="HL32" s="80"/>
      <c r="HM32" s="80"/>
      <c r="HN32" s="80"/>
      <c r="HO32" s="80"/>
      <c r="HP32" s="80"/>
      <c r="HQ32" s="80"/>
      <c r="HR32" s="80"/>
      <c r="HS32" s="80"/>
      <c r="HT32" s="80"/>
      <c r="HU32" s="80"/>
      <c r="HV32" s="80"/>
      <c r="HW32" s="80"/>
      <c r="HX32" s="80"/>
      <c r="HY32" s="80"/>
      <c r="HZ32" s="80"/>
      <c r="IA32" s="80"/>
      <c r="IB32" s="80"/>
      <c r="IC32" s="80"/>
      <c r="ID32" s="80"/>
      <c r="IE32" s="80"/>
      <c r="IF32" s="80"/>
      <c r="IG32" s="80"/>
      <c r="IH32" s="80"/>
      <c r="II32" s="80"/>
      <c r="IJ32" s="80"/>
      <c r="IK32" s="80"/>
      <c r="IL32" s="80"/>
      <c r="IM32" s="80"/>
      <c r="IN32" s="80"/>
      <c r="IO32" s="80"/>
      <c r="IP32" s="80"/>
      <c r="IQ32" s="80"/>
      <c r="IR32" s="80"/>
      <c r="IS32" s="80"/>
      <c r="IT32" s="80"/>
      <c r="IU32" s="80"/>
      <c r="IV32" s="80"/>
      <c r="IW32" s="80"/>
      <c r="IX32" s="80"/>
    </row>
    <row r="33" spans="1:258" x14ac:dyDescent="0.2">
      <c r="A33" s="216" t="str">
        <f>'Date Drivers'!$W$9</f>
        <v>Voltage inputs 115 V / Current inputs 1 A; full-scale 20 A (Ith = 40 A) (withdrawn)</v>
      </c>
      <c r="B33" s="88"/>
      <c r="C33" s="88"/>
      <c r="D33" s="89"/>
      <c r="E33" s="90"/>
      <c r="F33" s="90"/>
      <c r="G33" s="90"/>
      <c r="H33" s="217">
        <f>'Date Drivers'!$X$9</f>
        <v>1</v>
      </c>
      <c r="I33" s="76"/>
      <c r="J33" s="77"/>
      <c r="K33" s="75"/>
      <c r="L33" s="76"/>
      <c r="M33" s="195"/>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c r="EO33" s="80"/>
      <c r="EP33" s="80"/>
      <c r="EQ33" s="80"/>
      <c r="ER33" s="80"/>
      <c r="ES33" s="80"/>
      <c r="ET33" s="80"/>
      <c r="EU33" s="80"/>
      <c r="EV33" s="80"/>
      <c r="EW33" s="80"/>
      <c r="EX33" s="80"/>
      <c r="EY33" s="80"/>
      <c r="EZ33" s="80"/>
      <c r="FA33" s="80"/>
      <c r="FB33" s="80"/>
      <c r="FC33" s="80"/>
      <c r="FD33" s="80"/>
      <c r="FE33" s="80"/>
      <c r="FF33" s="80"/>
      <c r="FG33" s="80"/>
      <c r="FH33" s="80"/>
      <c r="FI33" s="80"/>
      <c r="FJ33" s="80"/>
      <c r="FK33" s="80"/>
      <c r="FL33" s="80"/>
      <c r="FM33" s="80"/>
      <c r="FN33" s="80"/>
      <c r="FO33" s="80"/>
      <c r="FP33" s="80"/>
      <c r="FQ33" s="80"/>
      <c r="FR33" s="80"/>
      <c r="FS33" s="80"/>
      <c r="FT33" s="80"/>
      <c r="FU33" s="80"/>
      <c r="FV33" s="80"/>
      <c r="FW33" s="80"/>
      <c r="FX33" s="80"/>
      <c r="FY33" s="80"/>
      <c r="FZ33" s="80"/>
      <c r="GA33" s="80"/>
      <c r="GB33" s="80"/>
      <c r="GC33" s="80"/>
      <c r="GD33" s="80"/>
      <c r="GE33" s="80"/>
      <c r="GF33" s="80"/>
      <c r="GG33" s="80"/>
      <c r="GH33" s="80"/>
      <c r="GI33" s="80"/>
      <c r="GJ33" s="80"/>
      <c r="GK33" s="80"/>
      <c r="GL33" s="80"/>
      <c r="GM33" s="80"/>
      <c r="GN33" s="80"/>
      <c r="GO33" s="80"/>
      <c r="GP33" s="80"/>
      <c r="GQ33" s="80"/>
      <c r="GR33" s="80"/>
      <c r="GS33" s="80"/>
      <c r="GT33" s="80"/>
      <c r="GU33" s="80"/>
      <c r="GV33" s="80"/>
      <c r="GW33" s="80"/>
      <c r="GX33" s="80"/>
      <c r="GY33" s="80"/>
      <c r="GZ33" s="80"/>
      <c r="HA33" s="80"/>
      <c r="HB33" s="80"/>
      <c r="HC33" s="80"/>
      <c r="HD33" s="80"/>
      <c r="HE33" s="80"/>
      <c r="HF33" s="80"/>
      <c r="HG33" s="80"/>
      <c r="HH33" s="80"/>
      <c r="HI33" s="80"/>
      <c r="HJ33" s="80"/>
      <c r="HK33" s="80"/>
      <c r="HL33" s="80"/>
      <c r="HM33" s="80"/>
      <c r="HN33" s="80"/>
      <c r="HO33" s="80"/>
      <c r="HP33" s="80"/>
      <c r="HQ33" s="80"/>
      <c r="HR33" s="80"/>
      <c r="HS33" s="80"/>
      <c r="HT33" s="80"/>
      <c r="HU33" s="80"/>
      <c r="HV33" s="80"/>
      <c r="HW33" s="80"/>
      <c r="HX33" s="80"/>
      <c r="HY33" s="80"/>
      <c r="HZ33" s="80"/>
      <c r="IA33" s="80"/>
      <c r="IB33" s="80"/>
      <c r="IC33" s="80"/>
      <c r="ID33" s="80"/>
      <c r="IE33" s="80"/>
      <c r="IF33" s="80"/>
      <c r="IG33" s="80"/>
      <c r="IH33" s="80"/>
      <c r="II33" s="80"/>
      <c r="IJ33" s="80"/>
      <c r="IK33" s="80"/>
      <c r="IL33" s="80"/>
      <c r="IM33" s="80"/>
      <c r="IN33" s="80"/>
      <c r="IO33" s="80"/>
      <c r="IP33" s="80"/>
      <c r="IQ33" s="80"/>
      <c r="IR33" s="80"/>
      <c r="IS33" s="80"/>
      <c r="IT33" s="80"/>
      <c r="IU33" s="80"/>
      <c r="IV33" s="80"/>
      <c r="IW33" s="80"/>
      <c r="IX33" s="80"/>
    </row>
    <row r="34" spans="1:258" x14ac:dyDescent="0.2">
      <c r="A34" s="78" t="str">
        <f ca="1">Database!E30</f>
        <v>Voltage inputs 115 V / Current inputs 1 A; full-scale 40 A (Ith = 100 A)</v>
      </c>
      <c r="B34" s="79"/>
      <c r="C34" s="79"/>
      <c r="D34" s="84"/>
      <c r="E34" s="87"/>
      <c r="F34" s="87"/>
      <c r="G34" s="87"/>
      <c r="H34" s="85">
        <f ca="1">Database!$F30</f>
        <v>2</v>
      </c>
      <c r="I34" s="76"/>
      <c r="J34" s="77"/>
      <c r="K34" s="75"/>
      <c r="L34" s="76"/>
      <c r="M34" s="195"/>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c r="EN34" s="80"/>
      <c r="EO34" s="80"/>
      <c r="EP34" s="80"/>
      <c r="EQ34" s="80"/>
      <c r="ER34" s="80"/>
      <c r="ES34" s="80"/>
      <c r="ET34" s="80"/>
      <c r="EU34" s="80"/>
      <c r="EV34" s="80"/>
      <c r="EW34" s="80"/>
      <c r="EX34" s="80"/>
      <c r="EY34" s="80"/>
      <c r="EZ34" s="80"/>
      <c r="FA34" s="80"/>
      <c r="FB34" s="80"/>
      <c r="FC34" s="80"/>
      <c r="FD34" s="80"/>
      <c r="FE34" s="80"/>
      <c r="FF34" s="80"/>
      <c r="FG34" s="80"/>
      <c r="FH34" s="80"/>
      <c r="FI34" s="80"/>
      <c r="FJ34" s="80"/>
      <c r="FK34" s="80"/>
      <c r="FL34" s="80"/>
      <c r="FM34" s="80"/>
      <c r="FN34" s="80"/>
      <c r="FO34" s="80"/>
      <c r="FP34" s="80"/>
      <c r="FQ34" s="80"/>
      <c r="FR34" s="80"/>
      <c r="FS34" s="80"/>
      <c r="FT34" s="80"/>
      <c r="FU34" s="80"/>
      <c r="FV34" s="80"/>
      <c r="FW34" s="80"/>
      <c r="FX34" s="80"/>
      <c r="FY34" s="80"/>
      <c r="FZ34" s="80"/>
      <c r="GA34" s="80"/>
      <c r="GB34" s="80"/>
      <c r="GC34" s="80"/>
      <c r="GD34" s="80"/>
      <c r="GE34" s="80"/>
      <c r="GF34" s="80"/>
      <c r="GG34" s="80"/>
      <c r="GH34" s="80"/>
      <c r="GI34" s="80"/>
      <c r="GJ34" s="80"/>
      <c r="GK34" s="80"/>
      <c r="GL34" s="80"/>
      <c r="GM34" s="80"/>
      <c r="GN34" s="80"/>
      <c r="GO34" s="80"/>
      <c r="GP34" s="80"/>
      <c r="GQ34" s="80"/>
      <c r="GR34" s="80"/>
      <c r="GS34" s="80"/>
      <c r="GT34" s="80"/>
      <c r="GU34" s="80"/>
      <c r="GV34" s="80"/>
      <c r="GW34" s="80"/>
      <c r="GX34" s="80"/>
      <c r="GY34" s="80"/>
      <c r="GZ34" s="80"/>
      <c r="HA34" s="80"/>
      <c r="HB34" s="80"/>
      <c r="HC34" s="80"/>
      <c r="HD34" s="80"/>
      <c r="HE34" s="80"/>
      <c r="HF34" s="80"/>
      <c r="HG34" s="80"/>
      <c r="HH34" s="80"/>
      <c r="HI34" s="80"/>
      <c r="HJ34" s="80"/>
      <c r="HK34" s="80"/>
      <c r="HL34" s="80"/>
      <c r="HM34" s="80"/>
      <c r="HN34" s="80"/>
      <c r="HO34" s="80"/>
      <c r="HP34" s="80"/>
      <c r="HQ34" s="80"/>
      <c r="HR34" s="80"/>
      <c r="HS34" s="80"/>
      <c r="HT34" s="80"/>
      <c r="HU34" s="80"/>
      <c r="HV34" s="80"/>
      <c r="HW34" s="80"/>
      <c r="HX34" s="80"/>
      <c r="HY34" s="80"/>
      <c r="HZ34" s="80"/>
      <c r="IA34" s="80"/>
      <c r="IB34" s="80"/>
      <c r="IC34" s="80"/>
      <c r="ID34" s="80"/>
      <c r="IE34" s="80"/>
      <c r="IF34" s="80"/>
      <c r="IG34" s="80"/>
      <c r="IH34" s="80"/>
      <c r="II34" s="80"/>
      <c r="IJ34" s="80"/>
      <c r="IK34" s="80"/>
      <c r="IL34" s="80"/>
      <c r="IM34" s="80"/>
      <c r="IN34" s="80"/>
      <c r="IO34" s="80"/>
      <c r="IP34" s="80"/>
      <c r="IQ34" s="80"/>
      <c r="IR34" s="80"/>
      <c r="IS34" s="80"/>
      <c r="IT34" s="80"/>
      <c r="IU34" s="80"/>
      <c r="IV34" s="80"/>
      <c r="IW34" s="80"/>
      <c r="IX34" s="80"/>
    </row>
    <row r="35" spans="1:258" x14ac:dyDescent="0.2">
      <c r="A35" s="216" t="str">
        <f>'Date Drivers'!$AB$11</f>
        <v>Voltage inputs 115 V / Current inputs 5 A; full-scale 100 A (Ith = 200 A) (withdrawn)</v>
      </c>
      <c r="B35" s="79"/>
      <c r="C35" s="79"/>
      <c r="D35" s="84"/>
      <c r="E35" s="87"/>
      <c r="F35" s="87"/>
      <c r="G35" s="87"/>
      <c r="H35" s="217">
        <f>'Date Drivers'!$AC$11</f>
        <v>5</v>
      </c>
      <c r="I35" s="76"/>
      <c r="J35" s="77"/>
      <c r="K35" s="75"/>
      <c r="L35" s="76"/>
      <c r="M35" s="195"/>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c r="EO35" s="80"/>
      <c r="EP35" s="80"/>
      <c r="EQ35" s="80"/>
      <c r="ER35" s="80"/>
      <c r="ES35" s="80"/>
      <c r="ET35" s="80"/>
      <c r="EU35" s="80"/>
      <c r="EV35" s="80"/>
      <c r="EW35" s="80"/>
      <c r="EX35" s="80"/>
      <c r="EY35" s="80"/>
      <c r="EZ35" s="80"/>
      <c r="FA35" s="80"/>
      <c r="FB35" s="80"/>
      <c r="FC35" s="80"/>
      <c r="FD35" s="80"/>
      <c r="FE35" s="80"/>
      <c r="FF35" s="80"/>
      <c r="FG35" s="80"/>
      <c r="FH35" s="80"/>
      <c r="FI35" s="80"/>
      <c r="FJ35" s="80"/>
      <c r="FK35" s="80"/>
      <c r="FL35" s="80"/>
      <c r="FM35" s="80"/>
      <c r="FN35" s="80"/>
      <c r="FO35" s="80"/>
      <c r="FP35" s="80"/>
      <c r="FQ35" s="80"/>
      <c r="FR35" s="80"/>
      <c r="FS35" s="80"/>
      <c r="FT35" s="80"/>
      <c r="FU35" s="80"/>
      <c r="FV35" s="80"/>
      <c r="FW35" s="80"/>
      <c r="FX35" s="80"/>
      <c r="FY35" s="80"/>
      <c r="FZ35" s="80"/>
      <c r="GA35" s="80"/>
      <c r="GB35" s="80"/>
      <c r="GC35" s="80"/>
      <c r="GD35" s="80"/>
      <c r="GE35" s="80"/>
      <c r="GF35" s="80"/>
      <c r="GG35" s="80"/>
      <c r="GH35" s="80"/>
      <c r="GI35" s="80"/>
      <c r="GJ35" s="80"/>
      <c r="GK35" s="80"/>
      <c r="GL35" s="80"/>
      <c r="GM35" s="80"/>
      <c r="GN35" s="80"/>
      <c r="GO35" s="80"/>
      <c r="GP35" s="80"/>
      <c r="GQ35" s="80"/>
      <c r="GR35" s="80"/>
      <c r="GS35" s="80"/>
      <c r="GT35" s="80"/>
      <c r="GU35" s="80"/>
      <c r="GV35" s="80"/>
      <c r="GW35" s="80"/>
      <c r="GX35" s="80"/>
      <c r="GY35" s="80"/>
      <c r="GZ35" s="80"/>
      <c r="HA35" s="80"/>
      <c r="HB35" s="80"/>
      <c r="HC35" s="80"/>
      <c r="HD35" s="80"/>
      <c r="HE35" s="80"/>
      <c r="HF35" s="80"/>
      <c r="HG35" s="80"/>
      <c r="HH35" s="80"/>
      <c r="HI35" s="80"/>
      <c r="HJ35" s="80"/>
      <c r="HK35" s="80"/>
      <c r="HL35" s="80"/>
      <c r="HM35" s="80"/>
      <c r="HN35" s="80"/>
      <c r="HO35" s="80"/>
      <c r="HP35" s="80"/>
      <c r="HQ35" s="80"/>
      <c r="HR35" s="80"/>
      <c r="HS35" s="80"/>
      <c r="HT35" s="80"/>
      <c r="HU35" s="80"/>
      <c r="HV35" s="80"/>
      <c r="HW35" s="80"/>
      <c r="HX35" s="80"/>
      <c r="HY35" s="80"/>
      <c r="HZ35" s="80"/>
      <c r="IA35" s="80"/>
      <c r="IB35" s="80"/>
      <c r="IC35" s="80"/>
      <c r="ID35" s="80"/>
      <c r="IE35" s="80"/>
      <c r="IF35" s="80"/>
      <c r="IG35" s="80"/>
      <c r="IH35" s="80"/>
      <c r="II35" s="80"/>
      <c r="IJ35" s="80"/>
      <c r="IK35" s="80"/>
      <c r="IL35" s="80"/>
      <c r="IM35" s="80"/>
      <c r="IN35" s="80"/>
      <c r="IO35" s="80"/>
      <c r="IP35" s="80"/>
      <c r="IQ35" s="80"/>
      <c r="IR35" s="80"/>
      <c r="IS35" s="80"/>
      <c r="IT35" s="80"/>
      <c r="IU35" s="80"/>
      <c r="IV35" s="80"/>
      <c r="IW35" s="80"/>
      <c r="IX35" s="80"/>
    </row>
    <row r="36" spans="1:258" x14ac:dyDescent="0.2">
      <c r="A36" s="78" t="str">
        <f ca="1">Database!E31</f>
        <v>Voltage inputs 115 V / Current inputs 5 A; full-scale 200 A (Ith = 200 A)</v>
      </c>
      <c r="B36" s="79"/>
      <c r="C36" s="79"/>
      <c r="D36" s="84"/>
      <c r="E36" s="87"/>
      <c r="F36" s="87"/>
      <c r="G36" s="87"/>
      <c r="H36" s="85">
        <f ca="1">Database!$F31</f>
        <v>6</v>
      </c>
      <c r="I36" s="76"/>
      <c r="J36" s="77"/>
      <c r="K36" s="75"/>
      <c r="L36" s="76"/>
      <c r="M36" s="195"/>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c r="EO36" s="80"/>
      <c r="EP36" s="80"/>
      <c r="EQ36" s="80"/>
      <c r="ER36" s="80"/>
      <c r="ES36" s="80"/>
      <c r="ET36" s="80"/>
      <c r="EU36" s="80"/>
      <c r="EV36" s="80"/>
      <c r="EW36" s="80"/>
      <c r="EX36" s="80"/>
      <c r="EY36" s="80"/>
      <c r="EZ36" s="80"/>
      <c r="FA36" s="80"/>
      <c r="FB36" s="80"/>
      <c r="FC36" s="80"/>
      <c r="FD36" s="80"/>
      <c r="FE36" s="80"/>
      <c r="FF36" s="80"/>
      <c r="FG36" s="80"/>
      <c r="FH36" s="80"/>
      <c r="FI36" s="80"/>
      <c r="FJ36" s="80"/>
      <c r="FK36" s="80"/>
      <c r="FL36" s="80"/>
      <c r="FM36" s="80"/>
      <c r="FN36" s="80"/>
      <c r="FO36" s="80"/>
      <c r="FP36" s="80"/>
      <c r="FQ36" s="80"/>
      <c r="FR36" s="80"/>
      <c r="FS36" s="80"/>
      <c r="FT36" s="80"/>
      <c r="FU36" s="80"/>
      <c r="FV36" s="80"/>
      <c r="FW36" s="80"/>
      <c r="FX36" s="80"/>
      <c r="FY36" s="80"/>
      <c r="FZ36" s="80"/>
      <c r="GA36" s="80"/>
      <c r="GB36" s="80"/>
      <c r="GC36" s="80"/>
      <c r="GD36" s="80"/>
      <c r="GE36" s="80"/>
      <c r="GF36" s="80"/>
      <c r="GG36" s="80"/>
      <c r="GH36" s="80"/>
      <c r="GI36" s="80"/>
      <c r="GJ36" s="80"/>
      <c r="GK36" s="80"/>
      <c r="GL36" s="80"/>
      <c r="GM36" s="80"/>
      <c r="GN36" s="80"/>
      <c r="GO36" s="80"/>
      <c r="GP36" s="80"/>
      <c r="GQ36" s="80"/>
      <c r="GR36" s="80"/>
      <c r="GS36" s="80"/>
      <c r="GT36" s="80"/>
      <c r="GU36" s="80"/>
      <c r="GV36" s="80"/>
      <c r="GW36" s="80"/>
      <c r="GX36" s="80"/>
      <c r="GY36" s="80"/>
      <c r="GZ36" s="80"/>
      <c r="HA36" s="80"/>
      <c r="HB36" s="80"/>
      <c r="HC36" s="80"/>
      <c r="HD36" s="80"/>
      <c r="HE36" s="80"/>
      <c r="HF36" s="80"/>
      <c r="HG36" s="80"/>
      <c r="HH36" s="80"/>
      <c r="HI36" s="80"/>
      <c r="HJ36" s="80"/>
      <c r="HK36" s="80"/>
      <c r="HL36" s="80"/>
      <c r="HM36" s="80"/>
      <c r="HN36" s="80"/>
      <c r="HO36" s="80"/>
      <c r="HP36" s="80"/>
      <c r="HQ36" s="80"/>
      <c r="HR36" s="80"/>
      <c r="HS36" s="80"/>
      <c r="HT36" s="80"/>
      <c r="HU36" s="80"/>
      <c r="HV36" s="80"/>
      <c r="HW36" s="80"/>
      <c r="HX36" s="80"/>
      <c r="HY36" s="80"/>
      <c r="HZ36" s="80"/>
      <c r="IA36" s="80"/>
      <c r="IB36" s="80"/>
      <c r="IC36" s="80"/>
      <c r="ID36" s="80"/>
      <c r="IE36" s="80"/>
      <c r="IF36" s="80"/>
      <c r="IG36" s="80"/>
      <c r="IH36" s="80"/>
      <c r="II36" s="80"/>
      <c r="IJ36" s="80"/>
      <c r="IK36" s="80"/>
      <c r="IL36" s="80"/>
      <c r="IM36" s="80"/>
      <c r="IN36" s="80"/>
      <c r="IO36" s="80"/>
      <c r="IP36" s="80"/>
      <c r="IQ36" s="80"/>
      <c r="IR36" s="80"/>
      <c r="IS36" s="80"/>
      <c r="IT36" s="80"/>
      <c r="IU36" s="80"/>
      <c r="IV36" s="80"/>
      <c r="IW36" s="80"/>
      <c r="IX36" s="80"/>
    </row>
    <row r="37" spans="1:258" x14ac:dyDescent="0.2">
      <c r="A37" s="216" t="str">
        <f>'Date Drivers'!$W$13</f>
        <v>Voltage inputs 115 V / Current inputs 5 A; full-scale 14 A (Ith = 32 A) (withdrawn)</v>
      </c>
      <c r="B37" s="88"/>
      <c r="C37" s="88"/>
      <c r="D37" s="89"/>
      <c r="E37" s="90"/>
      <c r="F37" s="90"/>
      <c r="G37" s="90"/>
      <c r="H37" s="217" t="str">
        <f>'Date Drivers'!$X$13</f>
        <v>T</v>
      </c>
      <c r="I37" s="76"/>
      <c r="J37" s="77"/>
      <c r="K37" s="75"/>
      <c r="L37" s="76"/>
      <c r="M37" s="195"/>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c r="EN37" s="80"/>
      <c r="EO37" s="80"/>
      <c r="EP37" s="80"/>
      <c r="EQ37" s="80"/>
      <c r="ER37" s="80"/>
      <c r="ES37" s="80"/>
      <c r="ET37" s="80"/>
      <c r="EU37" s="80"/>
      <c r="EV37" s="80"/>
      <c r="EW37" s="80"/>
      <c r="EX37" s="80"/>
      <c r="EY37" s="80"/>
      <c r="EZ37" s="80"/>
      <c r="FA37" s="80"/>
      <c r="FB37" s="80"/>
      <c r="FC37" s="80"/>
      <c r="FD37" s="80"/>
      <c r="FE37" s="80"/>
      <c r="FF37" s="80"/>
      <c r="FG37" s="80"/>
      <c r="FH37" s="80"/>
      <c r="FI37" s="80"/>
      <c r="FJ37" s="80"/>
      <c r="FK37" s="80"/>
      <c r="FL37" s="80"/>
      <c r="FM37" s="80"/>
      <c r="FN37" s="80"/>
      <c r="FO37" s="80"/>
      <c r="FP37" s="80"/>
      <c r="FQ37" s="80"/>
      <c r="FR37" s="80"/>
      <c r="FS37" s="80"/>
      <c r="FT37" s="80"/>
      <c r="FU37" s="80"/>
      <c r="FV37" s="80"/>
      <c r="FW37" s="80"/>
      <c r="FX37" s="80"/>
      <c r="FY37" s="80"/>
      <c r="FZ37" s="80"/>
      <c r="GA37" s="80"/>
      <c r="GB37" s="80"/>
      <c r="GC37" s="80"/>
      <c r="GD37" s="80"/>
      <c r="GE37" s="80"/>
      <c r="GF37" s="80"/>
      <c r="GG37" s="80"/>
      <c r="GH37" s="80"/>
      <c r="GI37" s="80"/>
      <c r="GJ37" s="80"/>
      <c r="GK37" s="80"/>
      <c r="GL37" s="80"/>
      <c r="GM37" s="80"/>
      <c r="GN37" s="80"/>
      <c r="GO37" s="80"/>
      <c r="GP37" s="80"/>
      <c r="GQ37" s="80"/>
      <c r="GR37" s="80"/>
      <c r="GS37" s="80"/>
      <c r="GT37" s="80"/>
      <c r="GU37" s="80"/>
      <c r="GV37" s="80"/>
      <c r="GW37" s="80"/>
      <c r="GX37" s="80"/>
      <c r="GY37" s="80"/>
      <c r="GZ37" s="80"/>
      <c r="HA37" s="80"/>
      <c r="HB37" s="80"/>
      <c r="HC37" s="80"/>
      <c r="HD37" s="80"/>
      <c r="HE37" s="80"/>
      <c r="HF37" s="80"/>
      <c r="HG37" s="80"/>
      <c r="HH37" s="80"/>
      <c r="HI37" s="80"/>
      <c r="HJ37" s="80"/>
      <c r="HK37" s="80"/>
      <c r="HL37" s="80"/>
      <c r="HM37" s="80"/>
      <c r="HN37" s="80"/>
      <c r="HO37" s="80"/>
      <c r="HP37" s="80"/>
      <c r="HQ37" s="80"/>
      <c r="HR37" s="80"/>
      <c r="HS37" s="80"/>
      <c r="HT37" s="80"/>
      <c r="HU37" s="80"/>
      <c r="HV37" s="80"/>
      <c r="HW37" s="80"/>
      <c r="HX37" s="80"/>
      <c r="HY37" s="80"/>
      <c r="HZ37" s="80"/>
      <c r="IA37" s="80"/>
      <c r="IB37" s="80"/>
      <c r="IC37" s="80"/>
      <c r="ID37" s="80"/>
      <c r="IE37" s="80"/>
      <c r="IF37" s="80"/>
      <c r="IG37" s="80"/>
      <c r="IH37" s="80"/>
      <c r="II37" s="80"/>
      <c r="IJ37" s="80"/>
      <c r="IK37" s="80"/>
      <c r="IL37" s="80"/>
      <c r="IM37" s="80"/>
      <c r="IN37" s="80"/>
      <c r="IO37" s="80"/>
      <c r="IP37" s="80"/>
      <c r="IQ37" s="80"/>
      <c r="IR37" s="80"/>
      <c r="IS37" s="80"/>
      <c r="IT37" s="80"/>
      <c r="IU37" s="80"/>
      <c r="IV37" s="80"/>
      <c r="IW37" s="80"/>
      <c r="IX37" s="80"/>
    </row>
    <row r="38" spans="1:258" x14ac:dyDescent="0.2">
      <c r="A38" s="78" t="str">
        <f ca="1">Database!E32</f>
        <v>Voltage inputs ±10 Vdc / Current inputs 0-20 mAdc</v>
      </c>
      <c r="B38" s="79"/>
      <c r="C38" s="79"/>
      <c r="D38" s="84"/>
      <c r="E38" s="87"/>
      <c r="F38" s="87"/>
      <c r="G38" s="87"/>
      <c r="H38" s="85" t="str">
        <f ca="1">Database!$F32</f>
        <v>D</v>
      </c>
      <c r="I38" s="76"/>
      <c r="J38" s="77"/>
      <c r="K38" s="75"/>
      <c r="L38" s="76"/>
      <c r="M38" s="195"/>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c r="EN38" s="80"/>
      <c r="EO38" s="80"/>
      <c r="EP38" s="80"/>
      <c r="EQ38" s="80"/>
      <c r="ER38" s="80"/>
      <c r="ES38" s="80"/>
      <c r="ET38" s="80"/>
      <c r="EU38" s="80"/>
      <c r="EV38" s="80"/>
      <c r="EW38" s="80"/>
      <c r="EX38" s="80"/>
      <c r="EY38" s="80"/>
      <c r="EZ38" s="80"/>
      <c r="FA38" s="80"/>
      <c r="FB38" s="80"/>
      <c r="FC38" s="80"/>
      <c r="FD38" s="80"/>
      <c r="FE38" s="80"/>
      <c r="FF38" s="80"/>
      <c r="FG38" s="80"/>
      <c r="FH38" s="80"/>
      <c r="FI38" s="80"/>
      <c r="FJ38" s="80"/>
      <c r="FK38" s="80"/>
      <c r="FL38" s="80"/>
      <c r="FM38" s="80"/>
      <c r="FN38" s="80"/>
      <c r="FO38" s="80"/>
      <c r="FP38" s="80"/>
      <c r="FQ38" s="80"/>
      <c r="FR38" s="80"/>
      <c r="FS38" s="80"/>
      <c r="FT38" s="80"/>
      <c r="FU38" s="80"/>
      <c r="FV38" s="80"/>
      <c r="FW38" s="80"/>
      <c r="FX38" s="80"/>
      <c r="FY38" s="80"/>
      <c r="FZ38" s="80"/>
      <c r="GA38" s="80"/>
      <c r="GB38" s="80"/>
      <c r="GC38" s="80"/>
      <c r="GD38" s="80"/>
      <c r="GE38" s="80"/>
      <c r="GF38" s="80"/>
      <c r="GG38" s="80"/>
      <c r="GH38" s="80"/>
      <c r="GI38" s="80"/>
      <c r="GJ38" s="80"/>
      <c r="GK38" s="80"/>
      <c r="GL38" s="80"/>
      <c r="GM38" s="80"/>
      <c r="GN38" s="80"/>
      <c r="GO38" s="80"/>
      <c r="GP38" s="80"/>
      <c r="GQ38" s="80"/>
      <c r="GR38" s="80"/>
      <c r="GS38" s="80"/>
      <c r="GT38" s="80"/>
      <c r="GU38" s="80"/>
      <c r="GV38" s="80"/>
      <c r="GW38" s="80"/>
      <c r="GX38" s="80"/>
      <c r="GY38" s="80"/>
      <c r="GZ38" s="80"/>
      <c r="HA38" s="80"/>
      <c r="HB38" s="80"/>
      <c r="HC38" s="80"/>
      <c r="HD38" s="80"/>
      <c r="HE38" s="80"/>
      <c r="HF38" s="80"/>
      <c r="HG38" s="80"/>
      <c r="HH38" s="80"/>
      <c r="HI38" s="80"/>
      <c r="HJ38" s="80"/>
      <c r="HK38" s="80"/>
      <c r="HL38" s="80"/>
      <c r="HM38" s="80"/>
      <c r="HN38" s="80"/>
      <c r="HO38" s="80"/>
      <c r="HP38" s="80"/>
      <c r="HQ38" s="80"/>
      <c r="HR38" s="80"/>
      <c r="HS38" s="80"/>
      <c r="HT38" s="80"/>
      <c r="HU38" s="80"/>
      <c r="HV38" s="80"/>
      <c r="HW38" s="80"/>
      <c r="HX38" s="80"/>
      <c r="HY38" s="80"/>
      <c r="HZ38" s="80"/>
      <c r="IA38" s="80"/>
      <c r="IB38" s="80"/>
      <c r="IC38" s="80"/>
      <c r="ID38" s="80"/>
      <c r="IE38" s="80"/>
      <c r="IF38" s="80"/>
      <c r="IG38" s="80"/>
      <c r="IH38" s="80"/>
      <c r="II38" s="80"/>
      <c r="IJ38" s="80"/>
      <c r="IK38" s="80"/>
      <c r="IL38" s="80"/>
      <c r="IM38" s="80"/>
      <c r="IN38" s="80"/>
      <c r="IO38" s="80"/>
      <c r="IP38" s="80"/>
      <c r="IQ38" s="80"/>
      <c r="IR38" s="80"/>
      <c r="IS38" s="80"/>
      <c r="IT38" s="80"/>
      <c r="IU38" s="80"/>
      <c r="IV38" s="80"/>
      <c r="IW38" s="80"/>
      <c r="IX38" s="80"/>
    </row>
    <row r="39" spans="1:258" x14ac:dyDescent="0.2">
      <c r="A39" s="78" t="str">
        <f ca="1">Database!E33</f>
        <v>Voltage inputs 115 V / Current inputs 100 mA; full-scale 100 mA (Ith = 2 A)</v>
      </c>
      <c r="B39" s="79"/>
      <c r="C39" s="79"/>
      <c r="D39" s="84"/>
      <c r="E39" s="87"/>
      <c r="F39" s="87"/>
      <c r="G39" s="87"/>
      <c r="H39" s="85" t="str">
        <f ca="1">Database!$F33</f>
        <v>P</v>
      </c>
      <c r="I39" s="76"/>
      <c r="J39" s="77"/>
      <c r="K39" s="75"/>
      <c r="L39" s="76"/>
      <c r="M39" s="195"/>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c r="EN39" s="80"/>
      <c r="EO39" s="80"/>
      <c r="EP39" s="80"/>
      <c r="EQ39" s="80"/>
      <c r="ER39" s="80"/>
      <c r="ES39" s="80"/>
      <c r="ET39" s="80"/>
      <c r="EU39" s="80"/>
      <c r="EV39" s="80"/>
      <c r="EW39" s="80"/>
      <c r="EX39" s="80"/>
      <c r="EY39" s="80"/>
      <c r="EZ39" s="80"/>
      <c r="FA39" s="80"/>
      <c r="FB39" s="80"/>
      <c r="FC39" s="80"/>
      <c r="FD39" s="80"/>
      <c r="FE39" s="80"/>
      <c r="FF39" s="80"/>
      <c r="FG39" s="80"/>
      <c r="FH39" s="80"/>
      <c r="FI39" s="80"/>
      <c r="FJ39" s="80"/>
      <c r="FK39" s="80"/>
      <c r="FL39" s="80"/>
      <c r="FM39" s="80"/>
      <c r="FN39" s="80"/>
      <c r="FO39" s="80"/>
      <c r="FP39" s="80"/>
      <c r="FQ39" s="80"/>
      <c r="FR39" s="80"/>
      <c r="FS39" s="80"/>
      <c r="FT39" s="80"/>
      <c r="FU39" s="80"/>
      <c r="FV39" s="80"/>
      <c r="FW39" s="80"/>
      <c r="FX39" s="80"/>
      <c r="FY39" s="80"/>
      <c r="FZ39" s="80"/>
      <c r="GA39" s="80"/>
      <c r="GB39" s="80"/>
      <c r="GC39" s="80"/>
      <c r="GD39" s="80"/>
      <c r="GE39" s="80"/>
      <c r="GF39" s="80"/>
      <c r="GG39" s="80"/>
      <c r="GH39" s="80"/>
      <c r="GI39" s="80"/>
      <c r="GJ39" s="80"/>
      <c r="GK39" s="80"/>
      <c r="GL39" s="80"/>
      <c r="GM39" s="80"/>
      <c r="GN39" s="80"/>
      <c r="GO39" s="80"/>
      <c r="GP39" s="80"/>
      <c r="GQ39" s="80"/>
      <c r="GR39" s="80"/>
      <c r="GS39" s="80"/>
      <c r="GT39" s="80"/>
      <c r="GU39" s="80"/>
      <c r="GV39" s="80"/>
      <c r="GW39" s="80"/>
      <c r="GX39" s="80"/>
      <c r="GY39" s="80"/>
      <c r="GZ39" s="80"/>
      <c r="HA39" s="80"/>
      <c r="HB39" s="80"/>
      <c r="HC39" s="80"/>
      <c r="HD39" s="80"/>
      <c r="HE39" s="80"/>
      <c r="HF39" s="80"/>
      <c r="HG39" s="80"/>
      <c r="HH39" s="80"/>
      <c r="HI39" s="80"/>
      <c r="HJ39" s="80"/>
      <c r="HK39" s="80"/>
      <c r="HL39" s="80"/>
      <c r="HM39" s="80"/>
      <c r="HN39" s="80"/>
      <c r="HO39" s="80"/>
      <c r="HP39" s="80"/>
      <c r="HQ39" s="80"/>
      <c r="HR39" s="80"/>
      <c r="HS39" s="80"/>
      <c r="HT39" s="80"/>
      <c r="HU39" s="80"/>
      <c r="HV39" s="80"/>
      <c r="HW39" s="80"/>
      <c r="HX39" s="80"/>
      <c r="HY39" s="80"/>
      <c r="HZ39" s="80"/>
      <c r="IA39" s="80"/>
      <c r="IB39" s="80"/>
      <c r="IC39" s="80"/>
      <c r="ID39" s="80"/>
      <c r="IE39" s="80"/>
      <c r="IF39" s="80"/>
      <c r="IG39" s="80"/>
      <c r="IH39" s="80"/>
      <c r="II39" s="80"/>
      <c r="IJ39" s="80"/>
      <c r="IK39" s="80"/>
      <c r="IL39" s="80"/>
      <c r="IM39" s="80"/>
      <c r="IN39" s="80"/>
      <c r="IO39" s="80"/>
      <c r="IP39" s="80"/>
      <c r="IQ39" s="80"/>
      <c r="IR39" s="80"/>
      <c r="IS39" s="80"/>
      <c r="IT39" s="80"/>
      <c r="IU39" s="80"/>
      <c r="IV39" s="80"/>
      <c r="IW39" s="80"/>
      <c r="IX39" s="80"/>
    </row>
    <row r="40" spans="1:258" x14ac:dyDescent="0.2">
      <c r="A40" s="78" t="str">
        <f ca="1">Database!E34</f>
        <v>Not installed</v>
      </c>
      <c r="B40" s="79"/>
      <c r="C40" s="79"/>
      <c r="D40" s="84"/>
      <c r="E40" s="87"/>
      <c r="F40" s="87"/>
      <c r="G40" s="87"/>
      <c r="H40" s="85" t="str">
        <f ca="1">Database!$F34</f>
        <v>X</v>
      </c>
      <c r="I40" s="76"/>
      <c r="J40" s="77"/>
      <c r="K40" s="75"/>
      <c r="L40" s="76"/>
      <c r="M40" s="195"/>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c r="EN40" s="80"/>
      <c r="EO40" s="80"/>
      <c r="EP40" s="80"/>
      <c r="EQ40" s="80"/>
      <c r="ER40" s="80"/>
      <c r="ES40" s="80"/>
      <c r="ET40" s="80"/>
      <c r="EU40" s="80"/>
      <c r="EV40" s="80"/>
      <c r="EW40" s="80"/>
      <c r="EX40" s="80"/>
      <c r="EY40" s="80"/>
      <c r="EZ40" s="80"/>
      <c r="FA40" s="80"/>
      <c r="FB40" s="80"/>
      <c r="FC40" s="80"/>
      <c r="FD40" s="80"/>
      <c r="FE40" s="80"/>
      <c r="FF40" s="80"/>
      <c r="FG40" s="80"/>
      <c r="FH40" s="80"/>
      <c r="FI40" s="80"/>
      <c r="FJ40" s="80"/>
      <c r="FK40" s="80"/>
      <c r="FL40" s="80"/>
      <c r="FM40" s="80"/>
      <c r="FN40" s="80"/>
      <c r="FO40" s="80"/>
      <c r="FP40" s="80"/>
      <c r="FQ40" s="80"/>
      <c r="FR40" s="80"/>
      <c r="FS40" s="80"/>
      <c r="FT40" s="80"/>
      <c r="FU40" s="80"/>
      <c r="FV40" s="80"/>
      <c r="FW40" s="80"/>
      <c r="FX40" s="80"/>
      <c r="FY40" s="80"/>
      <c r="FZ40" s="80"/>
      <c r="GA40" s="80"/>
      <c r="GB40" s="80"/>
      <c r="GC40" s="80"/>
      <c r="GD40" s="80"/>
      <c r="GE40" s="80"/>
      <c r="GF40" s="80"/>
      <c r="GG40" s="80"/>
      <c r="GH40" s="80"/>
      <c r="GI40" s="80"/>
      <c r="GJ40" s="80"/>
      <c r="GK40" s="80"/>
      <c r="GL40" s="80"/>
      <c r="GM40" s="80"/>
      <c r="GN40" s="80"/>
      <c r="GO40" s="80"/>
      <c r="GP40" s="80"/>
      <c r="GQ40" s="80"/>
      <c r="GR40" s="80"/>
      <c r="GS40" s="80"/>
      <c r="GT40" s="80"/>
      <c r="GU40" s="80"/>
      <c r="GV40" s="80"/>
      <c r="GW40" s="80"/>
      <c r="GX40" s="80"/>
      <c r="GY40" s="80"/>
      <c r="GZ40" s="80"/>
      <c r="HA40" s="80"/>
      <c r="HB40" s="80"/>
      <c r="HC40" s="80"/>
      <c r="HD40" s="80"/>
      <c r="HE40" s="80"/>
      <c r="HF40" s="80"/>
      <c r="HG40" s="80"/>
      <c r="HH40" s="80"/>
      <c r="HI40" s="80"/>
      <c r="HJ40" s="80"/>
      <c r="HK40" s="80"/>
      <c r="HL40" s="80"/>
      <c r="HM40" s="80"/>
      <c r="HN40" s="80"/>
      <c r="HO40" s="80"/>
      <c r="HP40" s="80"/>
      <c r="HQ40" s="80"/>
      <c r="HR40" s="80"/>
      <c r="HS40" s="80"/>
      <c r="HT40" s="80"/>
      <c r="HU40" s="80"/>
      <c r="HV40" s="80"/>
      <c r="HW40" s="80"/>
      <c r="HX40" s="80"/>
      <c r="HY40" s="80"/>
      <c r="HZ40" s="80"/>
      <c r="IA40" s="80"/>
      <c r="IB40" s="80"/>
      <c r="IC40" s="80"/>
      <c r="ID40" s="80"/>
      <c r="IE40" s="80"/>
      <c r="IF40" s="80"/>
      <c r="IG40" s="80"/>
      <c r="IH40" s="80"/>
      <c r="II40" s="80"/>
      <c r="IJ40" s="80"/>
      <c r="IK40" s="80"/>
      <c r="IL40" s="80"/>
      <c r="IM40" s="80"/>
      <c r="IN40" s="80"/>
      <c r="IO40" s="80"/>
      <c r="IP40" s="80"/>
      <c r="IQ40" s="80"/>
      <c r="IR40" s="80"/>
      <c r="IS40" s="80"/>
      <c r="IT40" s="80"/>
      <c r="IU40" s="80"/>
      <c r="IV40" s="80"/>
      <c r="IW40" s="80"/>
      <c r="IX40" s="80"/>
    </row>
    <row r="41" spans="1:258" x14ac:dyDescent="0.2">
      <c r="A41" s="81"/>
      <c r="B41" s="79"/>
      <c r="C41" s="82"/>
      <c r="D41" s="83"/>
      <c r="E41" s="86"/>
      <c r="F41" s="86"/>
      <c r="G41" s="86"/>
      <c r="H41" s="86"/>
      <c r="I41" s="76"/>
      <c r="J41" s="77"/>
      <c r="K41" s="75"/>
      <c r="L41" s="76"/>
      <c r="M41" s="195"/>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c r="EN41" s="80"/>
      <c r="EO41" s="80"/>
      <c r="EP41" s="80"/>
      <c r="EQ41" s="80"/>
      <c r="ER41" s="80"/>
      <c r="ES41" s="80"/>
      <c r="ET41" s="80"/>
      <c r="EU41" s="80"/>
      <c r="EV41" s="80"/>
      <c r="EW41" s="80"/>
      <c r="EX41" s="80"/>
      <c r="EY41" s="80"/>
      <c r="EZ41" s="80"/>
      <c r="FA41" s="80"/>
      <c r="FB41" s="80"/>
      <c r="FC41" s="80"/>
      <c r="FD41" s="80"/>
      <c r="FE41" s="80"/>
      <c r="FF41" s="80"/>
      <c r="FG41" s="80"/>
      <c r="FH41" s="80"/>
      <c r="FI41" s="80"/>
      <c r="FJ41" s="80"/>
      <c r="FK41" s="80"/>
      <c r="FL41" s="80"/>
      <c r="FM41" s="80"/>
      <c r="FN41" s="80"/>
      <c r="FO41" s="80"/>
      <c r="FP41" s="80"/>
      <c r="FQ41" s="80"/>
      <c r="FR41" s="80"/>
      <c r="FS41" s="80"/>
      <c r="FT41" s="80"/>
      <c r="FU41" s="80"/>
      <c r="FV41" s="80"/>
      <c r="FW41" s="80"/>
      <c r="FX41" s="80"/>
      <c r="FY41" s="80"/>
      <c r="FZ41" s="80"/>
      <c r="GA41" s="80"/>
      <c r="GB41" s="80"/>
      <c r="GC41" s="80"/>
      <c r="GD41" s="80"/>
      <c r="GE41" s="80"/>
      <c r="GF41" s="80"/>
      <c r="GG41" s="80"/>
      <c r="GH41" s="80"/>
      <c r="GI41" s="80"/>
      <c r="GJ41" s="80"/>
      <c r="GK41" s="80"/>
      <c r="GL41" s="80"/>
      <c r="GM41" s="80"/>
      <c r="GN41" s="80"/>
      <c r="GO41" s="80"/>
      <c r="GP41" s="80"/>
      <c r="GQ41" s="80"/>
      <c r="GR41" s="80"/>
      <c r="GS41" s="80"/>
      <c r="GT41" s="80"/>
      <c r="GU41" s="80"/>
      <c r="GV41" s="80"/>
      <c r="GW41" s="80"/>
      <c r="GX41" s="80"/>
      <c r="GY41" s="80"/>
      <c r="GZ41" s="80"/>
      <c r="HA41" s="80"/>
      <c r="HB41" s="80"/>
      <c r="HC41" s="80"/>
      <c r="HD41" s="80"/>
      <c r="HE41" s="80"/>
      <c r="HF41" s="80"/>
      <c r="HG41" s="80"/>
      <c r="HH41" s="80"/>
      <c r="HI41" s="80"/>
      <c r="HJ41" s="80"/>
      <c r="HK41" s="80"/>
      <c r="HL41" s="80"/>
      <c r="HM41" s="80"/>
      <c r="HN41" s="80"/>
      <c r="HO41" s="80"/>
      <c r="HP41" s="80"/>
      <c r="HQ41" s="80"/>
      <c r="HR41" s="80"/>
      <c r="HS41" s="80"/>
      <c r="HT41" s="80"/>
      <c r="HU41" s="80"/>
      <c r="HV41" s="80"/>
      <c r="HW41" s="80"/>
      <c r="HX41" s="80"/>
      <c r="HY41" s="80"/>
      <c r="HZ41" s="80"/>
      <c r="IA41" s="80"/>
      <c r="IB41" s="80"/>
      <c r="IC41" s="80"/>
      <c r="ID41" s="80"/>
      <c r="IE41" s="80"/>
      <c r="IF41" s="80"/>
      <c r="IG41" s="80"/>
      <c r="IH41" s="80"/>
      <c r="II41" s="80"/>
      <c r="IJ41" s="80"/>
      <c r="IK41" s="80"/>
      <c r="IL41" s="80"/>
      <c r="IM41" s="80"/>
      <c r="IN41" s="80"/>
      <c r="IO41" s="80"/>
      <c r="IP41" s="80"/>
      <c r="IQ41" s="80"/>
      <c r="IR41" s="80"/>
      <c r="IS41" s="80"/>
      <c r="IT41" s="80"/>
      <c r="IU41" s="80"/>
      <c r="IV41" s="80"/>
      <c r="IW41" s="80"/>
      <c r="IX41" s="80"/>
    </row>
    <row r="42" spans="1:258" x14ac:dyDescent="0.2">
      <c r="A42" s="71" t="str">
        <f ca="1">Database!B39</f>
        <v>Analogue Inputs 13 to 16</v>
      </c>
      <c r="B42" s="67"/>
      <c r="C42" s="79"/>
      <c r="D42" s="84"/>
      <c r="E42" s="87"/>
      <c r="F42" s="87"/>
      <c r="G42" s="87"/>
      <c r="H42" s="87"/>
      <c r="I42" s="76"/>
      <c r="J42" s="77"/>
      <c r="K42" s="75"/>
      <c r="L42" s="76"/>
      <c r="M42" s="195"/>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c r="EN42" s="80"/>
      <c r="EO42" s="80"/>
      <c r="EP42" s="80"/>
      <c r="EQ42" s="80"/>
      <c r="ER42" s="80"/>
      <c r="ES42" s="80"/>
      <c r="ET42" s="80"/>
      <c r="EU42" s="80"/>
      <c r="EV42" s="80"/>
      <c r="EW42" s="80"/>
      <c r="EX42" s="80"/>
      <c r="EY42" s="80"/>
      <c r="EZ42" s="80"/>
      <c r="FA42" s="80"/>
      <c r="FB42" s="80"/>
      <c r="FC42" s="80"/>
      <c r="FD42" s="80"/>
      <c r="FE42" s="80"/>
      <c r="FF42" s="80"/>
      <c r="FG42" s="80"/>
      <c r="FH42" s="80"/>
      <c r="FI42" s="80"/>
      <c r="FJ42" s="80"/>
      <c r="FK42" s="80"/>
      <c r="FL42" s="80"/>
      <c r="FM42" s="80"/>
      <c r="FN42" s="80"/>
      <c r="FO42" s="80"/>
      <c r="FP42" s="80"/>
      <c r="FQ42" s="80"/>
      <c r="FR42" s="80"/>
      <c r="FS42" s="80"/>
      <c r="FT42" s="80"/>
      <c r="FU42" s="80"/>
      <c r="FV42" s="80"/>
      <c r="FW42" s="80"/>
      <c r="FX42" s="80"/>
      <c r="FY42" s="80"/>
      <c r="FZ42" s="80"/>
      <c r="GA42" s="80"/>
      <c r="GB42" s="80"/>
      <c r="GC42" s="80"/>
      <c r="GD42" s="80"/>
      <c r="GE42" s="80"/>
      <c r="GF42" s="80"/>
      <c r="GG42" s="80"/>
      <c r="GH42" s="80"/>
      <c r="GI42" s="80"/>
      <c r="GJ42" s="80"/>
      <c r="GK42" s="80"/>
      <c r="GL42" s="80"/>
      <c r="GM42" s="80"/>
      <c r="GN42" s="80"/>
      <c r="GO42" s="80"/>
      <c r="GP42" s="80"/>
      <c r="GQ42" s="80"/>
      <c r="GR42" s="80"/>
      <c r="GS42" s="80"/>
      <c r="GT42" s="80"/>
      <c r="GU42" s="80"/>
      <c r="GV42" s="80"/>
      <c r="GW42" s="80"/>
      <c r="GX42" s="80"/>
      <c r="GY42" s="80"/>
      <c r="GZ42" s="80"/>
      <c r="HA42" s="80"/>
      <c r="HB42" s="80"/>
      <c r="HC42" s="80"/>
      <c r="HD42" s="80"/>
      <c r="HE42" s="80"/>
      <c r="HF42" s="80"/>
      <c r="HG42" s="80"/>
      <c r="HH42" s="80"/>
      <c r="HI42" s="80"/>
      <c r="HJ42" s="80"/>
      <c r="HK42" s="80"/>
      <c r="HL42" s="80"/>
      <c r="HM42" s="80"/>
      <c r="HN42" s="80"/>
      <c r="HO42" s="80"/>
      <c r="HP42" s="80"/>
      <c r="HQ42" s="80"/>
      <c r="HR42" s="80"/>
      <c r="HS42" s="80"/>
      <c r="HT42" s="80"/>
      <c r="HU42" s="80"/>
      <c r="HV42" s="80"/>
      <c r="HW42" s="80"/>
      <c r="HX42" s="80"/>
      <c r="HY42" s="80"/>
      <c r="HZ42" s="80"/>
      <c r="IA42" s="80"/>
      <c r="IB42" s="80"/>
      <c r="IC42" s="80"/>
      <c r="ID42" s="80"/>
      <c r="IE42" s="80"/>
      <c r="IF42" s="80"/>
      <c r="IG42" s="80"/>
      <c r="IH42" s="80"/>
      <c r="II42" s="80"/>
      <c r="IJ42" s="80"/>
      <c r="IK42" s="80"/>
      <c r="IL42" s="80"/>
      <c r="IM42" s="80"/>
      <c r="IN42" s="80"/>
      <c r="IO42" s="80"/>
      <c r="IP42" s="80"/>
      <c r="IQ42" s="80"/>
      <c r="IR42" s="80"/>
      <c r="IS42" s="80"/>
      <c r="IT42" s="80"/>
      <c r="IU42" s="80"/>
      <c r="IV42" s="80"/>
      <c r="IW42" s="80"/>
      <c r="IX42" s="80"/>
    </row>
    <row r="43" spans="1:258" x14ac:dyDescent="0.2">
      <c r="A43" s="216" t="str">
        <f>'Date Drivers'!$W$9</f>
        <v>Voltage inputs 115 V / Current inputs 1 A; full-scale 20 A (Ith = 40 A) (withdrawn)</v>
      </c>
      <c r="B43" s="88"/>
      <c r="C43" s="88"/>
      <c r="D43" s="89"/>
      <c r="E43" s="90"/>
      <c r="F43" s="90"/>
      <c r="G43" s="90"/>
      <c r="H43" s="90"/>
      <c r="I43" s="217">
        <f>'Date Drivers'!$X$9</f>
        <v>1</v>
      </c>
      <c r="J43" s="77"/>
      <c r="K43" s="75"/>
      <c r="L43" s="76"/>
      <c r="M43" s="195"/>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c r="EN43" s="80"/>
      <c r="EO43" s="80"/>
      <c r="EP43" s="80"/>
      <c r="EQ43" s="80"/>
      <c r="ER43" s="80"/>
      <c r="ES43" s="80"/>
      <c r="ET43" s="80"/>
      <c r="EU43" s="80"/>
      <c r="EV43" s="80"/>
      <c r="EW43" s="80"/>
      <c r="EX43" s="80"/>
      <c r="EY43" s="80"/>
      <c r="EZ43" s="80"/>
      <c r="FA43" s="80"/>
      <c r="FB43" s="80"/>
      <c r="FC43" s="80"/>
      <c r="FD43" s="80"/>
      <c r="FE43" s="80"/>
      <c r="FF43" s="80"/>
      <c r="FG43" s="80"/>
      <c r="FH43" s="80"/>
      <c r="FI43" s="80"/>
      <c r="FJ43" s="80"/>
      <c r="FK43" s="80"/>
      <c r="FL43" s="80"/>
      <c r="FM43" s="80"/>
      <c r="FN43" s="80"/>
      <c r="FO43" s="80"/>
      <c r="FP43" s="80"/>
      <c r="FQ43" s="80"/>
      <c r="FR43" s="80"/>
      <c r="FS43" s="80"/>
      <c r="FT43" s="80"/>
      <c r="FU43" s="80"/>
      <c r="FV43" s="80"/>
      <c r="FW43" s="80"/>
      <c r="FX43" s="80"/>
      <c r="FY43" s="80"/>
      <c r="FZ43" s="80"/>
      <c r="GA43" s="80"/>
      <c r="GB43" s="80"/>
      <c r="GC43" s="80"/>
      <c r="GD43" s="80"/>
      <c r="GE43" s="80"/>
      <c r="GF43" s="80"/>
      <c r="GG43" s="80"/>
      <c r="GH43" s="80"/>
      <c r="GI43" s="80"/>
      <c r="GJ43" s="80"/>
      <c r="GK43" s="80"/>
      <c r="GL43" s="80"/>
      <c r="GM43" s="80"/>
      <c r="GN43" s="80"/>
      <c r="GO43" s="80"/>
      <c r="GP43" s="80"/>
      <c r="GQ43" s="80"/>
      <c r="GR43" s="80"/>
      <c r="GS43" s="80"/>
      <c r="GT43" s="80"/>
      <c r="GU43" s="80"/>
      <c r="GV43" s="80"/>
      <c r="GW43" s="80"/>
      <c r="GX43" s="80"/>
      <c r="GY43" s="80"/>
      <c r="GZ43" s="80"/>
      <c r="HA43" s="80"/>
      <c r="HB43" s="80"/>
      <c r="HC43" s="80"/>
      <c r="HD43" s="80"/>
      <c r="HE43" s="80"/>
      <c r="HF43" s="80"/>
      <c r="HG43" s="80"/>
      <c r="HH43" s="80"/>
      <c r="HI43" s="80"/>
      <c r="HJ43" s="80"/>
      <c r="HK43" s="80"/>
      <c r="HL43" s="80"/>
      <c r="HM43" s="80"/>
      <c r="HN43" s="80"/>
      <c r="HO43" s="80"/>
      <c r="HP43" s="80"/>
      <c r="HQ43" s="80"/>
      <c r="HR43" s="80"/>
      <c r="HS43" s="80"/>
      <c r="HT43" s="80"/>
      <c r="HU43" s="80"/>
      <c r="HV43" s="80"/>
      <c r="HW43" s="80"/>
      <c r="HX43" s="80"/>
      <c r="HY43" s="80"/>
      <c r="HZ43" s="80"/>
      <c r="IA43" s="80"/>
      <c r="IB43" s="80"/>
      <c r="IC43" s="80"/>
      <c r="ID43" s="80"/>
      <c r="IE43" s="80"/>
      <c r="IF43" s="80"/>
      <c r="IG43" s="80"/>
      <c r="IH43" s="80"/>
      <c r="II43" s="80"/>
      <c r="IJ43" s="80"/>
      <c r="IK43" s="80"/>
      <c r="IL43" s="80"/>
      <c r="IM43" s="80"/>
      <c r="IN43" s="80"/>
      <c r="IO43" s="80"/>
      <c r="IP43" s="80"/>
      <c r="IQ43" s="80"/>
      <c r="IR43" s="80"/>
      <c r="IS43" s="80"/>
      <c r="IT43" s="80"/>
      <c r="IU43" s="80"/>
      <c r="IV43" s="80"/>
      <c r="IW43" s="80"/>
      <c r="IX43" s="80"/>
    </row>
    <row r="44" spans="1:258" x14ac:dyDescent="0.2">
      <c r="A44" s="78" t="str">
        <f ca="1">Database!E40</f>
        <v>Voltage inputs 115 V / Current inputs 1 A; full-scale 40 A (Ith = 100 A)</v>
      </c>
      <c r="B44" s="79"/>
      <c r="C44" s="79"/>
      <c r="D44" s="84"/>
      <c r="E44" s="87"/>
      <c r="F44" s="87"/>
      <c r="G44" s="87"/>
      <c r="H44" s="87"/>
      <c r="I44" s="85">
        <f ca="1">Database!$F40</f>
        <v>2</v>
      </c>
      <c r="J44" s="77"/>
      <c r="K44" s="75"/>
      <c r="L44" s="76"/>
      <c r="M44" s="195"/>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c r="EN44" s="80"/>
      <c r="EO44" s="80"/>
      <c r="EP44" s="80"/>
      <c r="EQ44" s="80"/>
      <c r="ER44" s="80"/>
      <c r="ES44" s="80"/>
      <c r="ET44" s="80"/>
      <c r="EU44" s="80"/>
      <c r="EV44" s="80"/>
      <c r="EW44" s="80"/>
      <c r="EX44" s="80"/>
      <c r="EY44" s="80"/>
      <c r="EZ44" s="80"/>
      <c r="FA44" s="80"/>
      <c r="FB44" s="80"/>
      <c r="FC44" s="80"/>
      <c r="FD44" s="80"/>
      <c r="FE44" s="80"/>
      <c r="FF44" s="80"/>
      <c r="FG44" s="80"/>
      <c r="FH44" s="80"/>
      <c r="FI44" s="80"/>
      <c r="FJ44" s="80"/>
      <c r="FK44" s="80"/>
      <c r="FL44" s="80"/>
      <c r="FM44" s="80"/>
      <c r="FN44" s="80"/>
      <c r="FO44" s="80"/>
      <c r="FP44" s="80"/>
      <c r="FQ44" s="80"/>
      <c r="FR44" s="80"/>
      <c r="FS44" s="80"/>
      <c r="FT44" s="80"/>
      <c r="FU44" s="80"/>
      <c r="FV44" s="80"/>
      <c r="FW44" s="80"/>
      <c r="FX44" s="80"/>
      <c r="FY44" s="80"/>
      <c r="FZ44" s="80"/>
      <c r="GA44" s="80"/>
      <c r="GB44" s="80"/>
      <c r="GC44" s="80"/>
      <c r="GD44" s="80"/>
      <c r="GE44" s="80"/>
      <c r="GF44" s="80"/>
      <c r="GG44" s="80"/>
      <c r="GH44" s="80"/>
      <c r="GI44" s="80"/>
      <c r="GJ44" s="80"/>
      <c r="GK44" s="80"/>
      <c r="GL44" s="80"/>
      <c r="GM44" s="80"/>
      <c r="GN44" s="80"/>
      <c r="GO44" s="80"/>
      <c r="GP44" s="80"/>
      <c r="GQ44" s="80"/>
      <c r="GR44" s="80"/>
      <c r="GS44" s="80"/>
      <c r="GT44" s="80"/>
      <c r="GU44" s="80"/>
      <c r="GV44" s="80"/>
      <c r="GW44" s="80"/>
      <c r="GX44" s="80"/>
      <c r="GY44" s="80"/>
      <c r="GZ44" s="80"/>
      <c r="HA44" s="80"/>
      <c r="HB44" s="80"/>
      <c r="HC44" s="80"/>
      <c r="HD44" s="80"/>
      <c r="HE44" s="80"/>
      <c r="HF44" s="80"/>
      <c r="HG44" s="80"/>
      <c r="HH44" s="80"/>
      <c r="HI44" s="80"/>
      <c r="HJ44" s="80"/>
      <c r="HK44" s="80"/>
      <c r="HL44" s="80"/>
      <c r="HM44" s="80"/>
      <c r="HN44" s="80"/>
      <c r="HO44" s="80"/>
      <c r="HP44" s="80"/>
      <c r="HQ44" s="80"/>
      <c r="HR44" s="80"/>
      <c r="HS44" s="80"/>
      <c r="HT44" s="80"/>
      <c r="HU44" s="80"/>
      <c r="HV44" s="80"/>
      <c r="HW44" s="80"/>
      <c r="HX44" s="80"/>
      <c r="HY44" s="80"/>
      <c r="HZ44" s="80"/>
      <c r="IA44" s="80"/>
      <c r="IB44" s="80"/>
      <c r="IC44" s="80"/>
      <c r="ID44" s="80"/>
      <c r="IE44" s="80"/>
      <c r="IF44" s="80"/>
      <c r="IG44" s="80"/>
      <c r="IH44" s="80"/>
      <c r="II44" s="80"/>
      <c r="IJ44" s="80"/>
      <c r="IK44" s="80"/>
      <c r="IL44" s="80"/>
      <c r="IM44" s="80"/>
      <c r="IN44" s="80"/>
      <c r="IO44" s="80"/>
      <c r="IP44" s="80"/>
      <c r="IQ44" s="80"/>
      <c r="IR44" s="80"/>
      <c r="IS44" s="80"/>
      <c r="IT44" s="80"/>
      <c r="IU44" s="80"/>
      <c r="IV44" s="80"/>
      <c r="IW44" s="80"/>
      <c r="IX44" s="80"/>
    </row>
    <row r="45" spans="1:258" x14ac:dyDescent="0.2">
      <c r="A45" s="216" t="str">
        <f>'Date Drivers'!$AB$11</f>
        <v>Voltage inputs 115 V / Current inputs 5 A; full-scale 100 A (Ith = 200 A) (withdrawn)</v>
      </c>
      <c r="B45" s="79"/>
      <c r="C45" s="79"/>
      <c r="D45" s="84"/>
      <c r="E45" s="87"/>
      <c r="F45" s="87"/>
      <c r="G45" s="87"/>
      <c r="H45" s="87"/>
      <c r="I45" s="217">
        <f>'Date Drivers'!$AC$11</f>
        <v>5</v>
      </c>
      <c r="J45" s="77"/>
      <c r="K45" s="75"/>
      <c r="L45" s="76"/>
      <c r="M45" s="195"/>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c r="EN45" s="80"/>
      <c r="EO45" s="80"/>
      <c r="EP45" s="80"/>
      <c r="EQ45" s="80"/>
      <c r="ER45" s="80"/>
      <c r="ES45" s="80"/>
      <c r="ET45" s="80"/>
      <c r="EU45" s="80"/>
      <c r="EV45" s="80"/>
      <c r="EW45" s="80"/>
      <c r="EX45" s="80"/>
      <c r="EY45" s="80"/>
      <c r="EZ45" s="80"/>
      <c r="FA45" s="80"/>
      <c r="FB45" s="80"/>
      <c r="FC45" s="80"/>
      <c r="FD45" s="80"/>
      <c r="FE45" s="80"/>
      <c r="FF45" s="80"/>
      <c r="FG45" s="80"/>
      <c r="FH45" s="80"/>
      <c r="FI45" s="80"/>
      <c r="FJ45" s="80"/>
      <c r="FK45" s="80"/>
      <c r="FL45" s="80"/>
      <c r="FM45" s="80"/>
      <c r="FN45" s="80"/>
      <c r="FO45" s="80"/>
      <c r="FP45" s="80"/>
      <c r="FQ45" s="80"/>
      <c r="FR45" s="80"/>
      <c r="FS45" s="80"/>
      <c r="FT45" s="80"/>
      <c r="FU45" s="80"/>
      <c r="FV45" s="80"/>
      <c r="FW45" s="80"/>
      <c r="FX45" s="80"/>
      <c r="FY45" s="80"/>
      <c r="FZ45" s="80"/>
      <c r="GA45" s="80"/>
      <c r="GB45" s="80"/>
      <c r="GC45" s="80"/>
      <c r="GD45" s="80"/>
      <c r="GE45" s="80"/>
      <c r="GF45" s="80"/>
      <c r="GG45" s="80"/>
      <c r="GH45" s="80"/>
      <c r="GI45" s="80"/>
      <c r="GJ45" s="80"/>
      <c r="GK45" s="80"/>
      <c r="GL45" s="80"/>
      <c r="GM45" s="80"/>
      <c r="GN45" s="80"/>
      <c r="GO45" s="80"/>
      <c r="GP45" s="80"/>
      <c r="GQ45" s="80"/>
      <c r="GR45" s="80"/>
      <c r="GS45" s="80"/>
      <c r="GT45" s="80"/>
      <c r="GU45" s="80"/>
      <c r="GV45" s="80"/>
      <c r="GW45" s="80"/>
      <c r="GX45" s="80"/>
      <c r="GY45" s="80"/>
      <c r="GZ45" s="80"/>
      <c r="HA45" s="80"/>
      <c r="HB45" s="80"/>
      <c r="HC45" s="80"/>
      <c r="HD45" s="80"/>
      <c r="HE45" s="80"/>
      <c r="HF45" s="80"/>
      <c r="HG45" s="80"/>
      <c r="HH45" s="80"/>
      <c r="HI45" s="80"/>
      <c r="HJ45" s="80"/>
      <c r="HK45" s="80"/>
      <c r="HL45" s="80"/>
      <c r="HM45" s="80"/>
      <c r="HN45" s="80"/>
      <c r="HO45" s="80"/>
      <c r="HP45" s="80"/>
      <c r="HQ45" s="80"/>
      <c r="HR45" s="80"/>
      <c r="HS45" s="80"/>
      <c r="HT45" s="80"/>
      <c r="HU45" s="80"/>
      <c r="HV45" s="80"/>
      <c r="HW45" s="80"/>
      <c r="HX45" s="80"/>
      <c r="HY45" s="80"/>
      <c r="HZ45" s="80"/>
      <c r="IA45" s="80"/>
      <c r="IB45" s="80"/>
      <c r="IC45" s="80"/>
      <c r="ID45" s="80"/>
      <c r="IE45" s="80"/>
      <c r="IF45" s="80"/>
      <c r="IG45" s="80"/>
      <c r="IH45" s="80"/>
      <c r="II45" s="80"/>
      <c r="IJ45" s="80"/>
      <c r="IK45" s="80"/>
      <c r="IL45" s="80"/>
      <c r="IM45" s="80"/>
      <c r="IN45" s="80"/>
      <c r="IO45" s="80"/>
      <c r="IP45" s="80"/>
      <c r="IQ45" s="80"/>
      <c r="IR45" s="80"/>
      <c r="IS45" s="80"/>
      <c r="IT45" s="80"/>
      <c r="IU45" s="80"/>
      <c r="IV45" s="80"/>
      <c r="IW45" s="80"/>
      <c r="IX45" s="80"/>
    </row>
    <row r="46" spans="1:258" x14ac:dyDescent="0.2">
      <c r="A46" s="78" t="str">
        <f ca="1">Database!E41</f>
        <v>Voltage inputs 115 V / Current inputs 5 A; full-scale 200 A (Ith = 200 A)</v>
      </c>
      <c r="B46" s="79"/>
      <c r="C46" s="79"/>
      <c r="D46" s="84"/>
      <c r="E46" s="87"/>
      <c r="F46" s="87"/>
      <c r="G46" s="87"/>
      <c r="H46" s="87"/>
      <c r="I46" s="85">
        <f ca="1">Database!$F41</f>
        <v>6</v>
      </c>
      <c r="J46" s="77"/>
      <c r="K46" s="75"/>
      <c r="L46" s="76"/>
      <c r="M46" s="195"/>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c r="EN46" s="80"/>
      <c r="EO46" s="80"/>
      <c r="EP46" s="80"/>
      <c r="EQ46" s="80"/>
      <c r="ER46" s="80"/>
      <c r="ES46" s="80"/>
      <c r="ET46" s="80"/>
      <c r="EU46" s="80"/>
      <c r="EV46" s="80"/>
      <c r="EW46" s="80"/>
      <c r="EX46" s="80"/>
      <c r="EY46" s="80"/>
      <c r="EZ46" s="80"/>
      <c r="FA46" s="80"/>
      <c r="FB46" s="80"/>
      <c r="FC46" s="80"/>
      <c r="FD46" s="80"/>
      <c r="FE46" s="80"/>
      <c r="FF46" s="80"/>
      <c r="FG46" s="80"/>
      <c r="FH46" s="80"/>
      <c r="FI46" s="80"/>
      <c r="FJ46" s="80"/>
      <c r="FK46" s="80"/>
      <c r="FL46" s="80"/>
      <c r="FM46" s="80"/>
      <c r="FN46" s="80"/>
      <c r="FO46" s="80"/>
      <c r="FP46" s="80"/>
      <c r="FQ46" s="80"/>
      <c r="FR46" s="80"/>
      <c r="FS46" s="80"/>
      <c r="FT46" s="80"/>
      <c r="FU46" s="80"/>
      <c r="FV46" s="80"/>
      <c r="FW46" s="80"/>
      <c r="FX46" s="80"/>
      <c r="FY46" s="80"/>
      <c r="FZ46" s="80"/>
      <c r="GA46" s="80"/>
      <c r="GB46" s="80"/>
      <c r="GC46" s="80"/>
      <c r="GD46" s="80"/>
      <c r="GE46" s="80"/>
      <c r="GF46" s="80"/>
      <c r="GG46" s="80"/>
      <c r="GH46" s="80"/>
      <c r="GI46" s="80"/>
      <c r="GJ46" s="80"/>
      <c r="GK46" s="80"/>
      <c r="GL46" s="80"/>
      <c r="GM46" s="80"/>
      <c r="GN46" s="80"/>
      <c r="GO46" s="80"/>
      <c r="GP46" s="80"/>
      <c r="GQ46" s="80"/>
      <c r="GR46" s="80"/>
      <c r="GS46" s="80"/>
      <c r="GT46" s="80"/>
      <c r="GU46" s="80"/>
      <c r="GV46" s="80"/>
      <c r="GW46" s="80"/>
      <c r="GX46" s="80"/>
      <c r="GY46" s="80"/>
      <c r="GZ46" s="80"/>
      <c r="HA46" s="80"/>
      <c r="HB46" s="80"/>
      <c r="HC46" s="80"/>
      <c r="HD46" s="80"/>
      <c r="HE46" s="80"/>
      <c r="HF46" s="80"/>
      <c r="HG46" s="80"/>
      <c r="HH46" s="80"/>
      <c r="HI46" s="80"/>
      <c r="HJ46" s="80"/>
      <c r="HK46" s="80"/>
      <c r="HL46" s="80"/>
      <c r="HM46" s="80"/>
      <c r="HN46" s="80"/>
      <c r="HO46" s="80"/>
      <c r="HP46" s="80"/>
      <c r="HQ46" s="80"/>
      <c r="HR46" s="80"/>
      <c r="HS46" s="80"/>
      <c r="HT46" s="80"/>
      <c r="HU46" s="80"/>
      <c r="HV46" s="80"/>
      <c r="HW46" s="80"/>
      <c r="HX46" s="80"/>
      <c r="HY46" s="80"/>
      <c r="HZ46" s="80"/>
      <c r="IA46" s="80"/>
      <c r="IB46" s="80"/>
      <c r="IC46" s="80"/>
      <c r="ID46" s="80"/>
      <c r="IE46" s="80"/>
      <c r="IF46" s="80"/>
      <c r="IG46" s="80"/>
      <c r="IH46" s="80"/>
      <c r="II46" s="80"/>
      <c r="IJ46" s="80"/>
      <c r="IK46" s="80"/>
      <c r="IL46" s="80"/>
      <c r="IM46" s="80"/>
      <c r="IN46" s="80"/>
      <c r="IO46" s="80"/>
      <c r="IP46" s="80"/>
      <c r="IQ46" s="80"/>
      <c r="IR46" s="80"/>
      <c r="IS46" s="80"/>
      <c r="IT46" s="80"/>
      <c r="IU46" s="80"/>
      <c r="IV46" s="80"/>
      <c r="IW46" s="80"/>
      <c r="IX46" s="80"/>
    </row>
    <row r="47" spans="1:258" x14ac:dyDescent="0.2">
      <c r="A47" s="216" t="str">
        <f>'Date Drivers'!$W$13</f>
        <v>Voltage inputs 115 V / Current inputs 5 A; full-scale 14 A (Ith = 32 A) (withdrawn)</v>
      </c>
      <c r="B47" s="88"/>
      <c r="C47" s="88"/>
      <c r="D47" s="89"/>
      <c r="E47" s="90"/>
      <c r="F47" s="90"/>
      <c r="G47" s="90"/>
      <c r="H47" s="90"/>
      <c r="I47" s="217" t="str">
        <f>'Date Drivers'!$X$13</f>
        <v>T</v>
      </c>
      <c r="J47" s="77"/>
      <c r="K47" s="75"/>
      <c r="L47" s="76"/>
      <c r="M47" s="195"/>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c r="EN47" s="80"/>
      <c r="EO47" s="80"/>
      <c r="EP47" s="80"/>
      <c r="EQ47" s="80"/>
      <c r="ER47" s="80"/>
      <c r="ES47" s="80"/>
      <c r="ET47" s="80"/>
      <c r="EU47" s="80"/>
      <c r="EV47" s="80"/>
      <c r="EW47" s="80"/>
      <c r="EX47" s="80"/>
      <c r="EY47" s="80"/>
      <c r="EZ47" s="80"/>
      <c r="FA47" s="80"/>
      <c r="FB47" s="80"/>
      <c r="FC47" s="80"/>
      <c r="FD47" s="80"/>
      <c r="FE47" s="80"/>
      <c r="FF47" s="80"/>
      <c r="FG47" s="80"/>
      <c r="FH47" s="80"/>
      <c r="FI47" s="80"/>
      <c r="FJ47" s="80"/>
      <c r="FK47" s="80"/>
      <c r="FL47" s="80"/>
      <c r="FM47" s="80"/>
      <c r="FN47" s="80"/>
      <c r="FO47" s="80"/>
      <c r="FP47" s="80"/>
      <c r="FQ47" s="80"/>
      <c r="FR47" s="80"/>
      <c r="FS47" s="80"/>
      <c r="FT47" s="80"/>
      <c r="FU47" s="80"/>
      <c r="FV47" s="80"/>
      <c r="FW47" s="80"/>
      <c r="FX47" s="80"/>
      <c r="FY47" s="80"/>
      <c r="FZ47" s="80"/>
      <c r="GA47" s="80"/>
      <c r="GB47" s="80"/>
      <c r="GC47" s="80"/>
      <c r="GD47" s="80"/>
      <c r="GE47" s="80"/>
      <c r="GF47" s="80"/>
      <c r="GG47" s="80"/>
      <c r="GH47" s="80"/>
      <c r="GI47" s="80"/>
      <c r="GJ47" s="80"/>
      <c r="GK47" s="80"/>
      <c r="GL47" s="80"/>
      <c r="GM47" s="80"/>
      <c r="GN47" s="80"/>
      <c r="GO47" s="80"/>
      <c r="GP47" s="80"/>
      <c r="GQ47" s="80"/>
      <c r="GR47" s="80"/>
      <c r="GS47" s="80"/>
      <c r="GT47" s="80"/>
      <c r="GU47" s="80"/>
      <c r="GV47" s="80"/>
      <c r="GW47" s="80"/>
      <c r="GX47" s="80"/>
      <c r="GY47" s="80"/>
      <c r="GZ47" s="80"/>
      <c r="HA47" s="80"/>
      <c r="HB47" s="80"/>
      <c r="HC47" s="80"/>
      <c r="HD47" s="80"/>
      <c r="HE47" s="80"/>
      <c r="HF47" s="80"/>
      <c r="HG47" s="80"/>
      <c r="HH47" s="80"/>
      <c r="HI47" s="80"/>
      <c r="HJ47" s="80"/>
      <c r="HK47" s="80"/>
      <c r="HL47" s="80"/>
      <c r="HM47" s="80"/>
      <c r="HN47" s="80"/>
      <c r="HO47" s="80"/>
      <c r="HP47" s="80"/>
      <c r="HQ47" s="80"/>
      <c r="HR47" s="80"/>
      <c r="HS47" s="80"/>
      <c r="HT47" s="80"/>
      <c r="HU47" s="80"/>
      <c r="HV47" s="80"/>
      <c r="HW47" s="80"/>
      <c r="HX47" s="80"/>
      <c r="HY47" s="80"/>
      <c r="HZ47" s="80"/>
      <c r="IA47" s="80"/>
      <c r="IB47" s="80"/>
      <c r="IC47" s="80"/>
      <c r="ID47" s="80"/>
      <c r="IE47" s="80"/>
      <c r="IF47" s="80"/>
      <c r="IG47" s="80"/>
      <c r="IH47" s="80"/>
      <c r="II47" s="80"/>
      <c r="IJ47" s="80"/>
      <c r="IK47" s="80"/>
      <c r="IL47" s="80"/>
      <c r="IM47" s="80"/>
      <c r="IN47" s="80"/>
      <c r="IO47" s="80"/>
      <c r="IP47" s="80"/>
      <c r="IQ47" s="80"/>
      <c r="IR47" s="80"/>
      <c r="IS47" s="80"/>
      <c r="IT47" s="80"/>
      <c r="IU47" s="80"/>
      <c r="IV47" s="80"/>
      <c r="IW47" s="80"/>
      <c r="IX47" s="80"/>
    </row>
    <row r="48" spans="1:258" x14ac:dyDescent="0.2">
      <c r="A48" s="78" t="str">
        <f ca="1">Database!E42</f>
        <v>Voltage inputs ±10 Vdc / Current inputs 0-20 mAdc</v>
      </c>
      <c r="B48" s="79"/>
      <c r="C48" s="79"/>
      <c r="D48" s="84"/>
      <c r="E48" s="87"/>
      <c r="F48" s="87"/>
      <c r="G48" s="87"/>
      <c r="H48" s="87"/>
      <c r="I48" s="85" t="str">
        <f ca="1">Database!$F42</f>
        <v>D</v>
      </c>
      <c r="J48" s="77"/>
      <c r="K48" s="75"/>
      <c r="L48" s="76"/>
      <c r="M48" s="195"/>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c r="EN48" s="80"/>
      <c r="EO48" s="80"/>
      <c r="EP48" s="80"/>
      <c r="EQ48" s="80"/>
      <c r="ER48" s="80"/>
      <c r="ES48" s="80"/>
      <c r="ET48" s="80"/>
      <c r="EU48" s="80"/>
      <c r="EV48" s="80"/>
      <c r="EW48" s="80"/>
      <c r="EX48" s="80"/>
      <c r="EY48" s="80"/>
      <c r="EZ48" s="80"/>
      <c r="FA48" s="80"/>
      <c r="FB48" s="80"/>
      <c r="FC48" s="80"/>
      <c r="FD48" s="80"/>
      <c r="FE48" s="80"/>
      <c r="FF48" s="80"/>
      <c r="FG48" s="80"/>
      <c r="FH48" s="80"/>
      <c r="FI48" s="80"/>
      <c r="FJ48" s="80"/>
      <c r="FK48" s="80"/>
      <c r="FL48" s="80"/>
      <c r="FM48" s="80"/>
      <c r="FN48" s="80"/>
      <c r="FO48" s="80"/>
      <c r="FP48" s="80"/>
      <c r="FQ48" s="80"/>
      <c r="FR48" s="80"/>
      <c r="FS48" s="80"/>
      <c r="FT48" s="80"/>
      <c r="FU48" s="80"/>
      <c r="FV48" s="80"/>
      <c r="FW48" s="80"/>
      <c r="FX48" s="80"/>
      <c r="FY48" s="80"/>
      <c r="FZ48" s="80"/>
      <c r="GA48" s="80"/>
      <c r="GB48" s="80"/>
      <c r="GC48" s="80"/>
      <c r="GD48" s="80"/>
      <c r="GE48" s="80"/>
      <c r="GF48" s="80"/>
      <c r="GG48" s="80"/>
      <c r="GH48" s="80"/>
      <c r="GI48" s="80"/>
      <c r="GJ48" s="80"/>
      <c r="GK48" s="80"/>
      <c r="GL48" s="80"/>
      <c r="GM48" s="80"/>
      <c r="GN48" s="80"/>
      <c r="GO48" s="80"/>
      <c r="GP48" s="80"/>
      <c r="GQ48" s="80"/>
      <c r="GR48" s="80"/>
      <c r="GS48" s="80"/>
      <c r="GT48" s="80"/>
      <c r="GU48" s="80"/>
      <c r="GV48" s="80"/>
      <c r="GW48" s="80"/>
      <c r="GX48" s="80"/>
      <c r="GY48" s="80"/>
      <c r="GZ48" s="80"/>
      <c r="HA48" s="80"/>
      <c r="HB48" s="80"/>
      <c r="HC48" s="80"/>
      <c r="HD48" s="80"/>
      <c r="HE48" s="80"/>
      <c r="HF48" s="80"/>
      <c r="HG48" s="80"/>
      <c r="HH48" s="80"/>
      <c r="HI48" s="80"/>
      <c r="HJ48" s="80"/>
      <c r="HK48" s="80"/>
      <c r="HL48" s="80"/>
      <c r="HM48" s="80"/>
      <c r="HN48" s="80"/>
      <c r="HO48" s="80"/>
      <c r="HP48" s="80"/>
      <c r="HQ48" s="80"/>
      <c r="HR48" s="80"/>
      <c r="HS48" s="80"/>
      <c r="HT48" s="80"/>
      <c r="HU48" s="80"/>
      <c r="HV48" s="80"/>
      <c r="HW48" s="80"/>
      <c r="HX48" s="80"/>
      <c r="HY48" s="80"/>
      <c r="HZ48" s="80"/>
      <c r="IA48" s="80"/>
      <c r="IB48" s="80"/>
      <c r="IC48" s="80"/>
      <c r="ID48" s="80"/>
      <c r="IE48" s="80"/>
      <c r="IF48" s="80"/>
      <c r="IG48" s="80"/>
      <c r="IH48" s="80"/>
      <c r="II48" s="80"/>
      <c r="IJ48" s="80"/>
      <c r="IK48" s="80"/>
      <c r="IL48" s="80"/>
      <c r="IM48" s="80"/>
      <c r="IN48" s="80"/>
      <c r="IO48" s="80"/>
      <c r="IP48" s="80"/>
      <c r="IQ48" s="80"/>
      <c r="IR48" s="80"/>
      <c r="IS48" s="80"/>
      <c r="IT48" s="80"/>
      <c r="IU48" s="80"/>
      <c r="IV48" s="80"/>
      <c r="IW48" s="80"/>
      <c r="IX48" s="80"/>
    </row>
    <row r="49" spans="1:258" x14ac:dyDescent="0.2">
      <c r="A49" s="78" t="str">
        <f ca="1">Database!E43</f>
        <v>Voltage inputs 115 V / Current inputs 100 mA; full-scale 100 mA (Ith = 2 A)</v>
      </c>
      <c r="B49" s="79"/>
      <c r="C49" s="79"/>
      <c r="D49" s="84"/>
      <c r="E49" s="87"/>
      <c r="F49" s="87"/>
      <c r="G49" s="87"/>
      <c r="H49" s="87"/>
      <c r="I49" s="85" t="str">
        <f ca="1">Database!$F43</f>
        <v>P</v>
      </c>
      <c r="J49" s="77"/>
      <c r="K49" s="75"/>
      <c r="L49" s="76"/>
      <c r="M49" s="195"/>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c r="EN49" s="80"/>
      <c r="EO49" s="80"/>
      <c r="EP49" s="80"/>
      <c r="EQ49" s="80"/>
      <c r="ER49" s="80"/>
      <c r="ES49" s="80"/>
      <c r="ET49" s="80"/>
      <c r="EU49" s="80"/>
      <c r="EV49" s="80"/>
      <c r="EW49" s="80"/>
      <c r="EX49" s="80"/>
      <c r="EY49" s="80"/>
      <c r="EZ49" s="80"/>
      <c r="FA49" s="80"/>
      <c r="FB49" s="80"/>
      <c r="FC49" s="80"/>
      <c r="FD49" s="80"/>
      <c r="FE49" s="80"/>
      <c r="FF49" s="80"/>
      <c r="FG49" s="80"/>
      <c r="FH49" s="80"/>
      <c r="FI49" s="80"/>
      <c r="FJ49" s="80"/>
      <c r="FK49" s="80"/>
      <c r="FL49" s="80"/>
      <c r="FM49" s="80"/>
      <c r="FN49" s="80"/>
      <c r="FO49" s="80"/>
      <c r="FP49" s="80"/>
      <c r="FQ49" s="80"/>
      <c r="FR49" s="80"/>
      <c r="FS49" s="80"/>
      <c r="FT49" s="80"/>
      <c r="FU49" s="80"/>
      <c r="FV49" s="80"/>
      <c r="FW49" s="80"/>
      <c r="FX49" s="80"/>
      <c r="FY49" s="80"/>
      <c r="FZ49" s="80"/>
      <c r="GA49" s="80"/>
      <c r="GB49" s="80"/>
      <c r="GC49" s="80"/>
      <c r="GD49" s="80"/>
      <c r="GE49" s="80"/>
      <c r="GF49" s="80"/>
      <c r="GG49" s="80"/>
      <c r="GH49" s="80"/>
      <c r="GI49" s="80"/>
      <c r="GJ49" s="80"/>
      <c r="GK49" s="80"/>
      <c r="GL49" s="80"/>
      <c r="GM49" s="80"/>
      <c r="GN49" s="80"/>
      <c r="GO49" s="80"/>
      <c r="GP49" s="80"/>
      <c r="GQ49" s="80"/>
      <c r="GR49" s="80"/>
      <c r="GS49" s="80"/>
      <c r="GT49" s="80"/>
      <c r="GU49" s="80"/>
      <c r="GV49" s="80"/>
      <c r="GW49" s="80"/>
      <c r="GX49" s="80"/>
      <c r="GY49" s="80"/>
      <c r="GZ49" s="80"/>
      <c r="HA49" s="80"/>
      <c r="HB49" s="80"/>
      <c r="HC49" s="80"/>
      <c r="HD49" s="80"/>
      <c r="HE49" s="80"/>
      <c r="HF49" s="80"/>
      <c r="HG49" s="80"/>
      <c r="HH49" s="80"/>
      <c r="HI49" s="80"/>
      <c r="HJ49" s="80"/>
      <c r="HK49" s="80"/>
      <c r="HL49" s="80"/>
      <c r="HM49" s="80"/>
      <c r="HN49" s="80"/>
      <c r="HO49" s="80"/>
      <c r="HP49" s="80"/>
      <c r="HQ49" s="80"/>
      <c r="HR49" s="80"/>
      <c r="HS49" s="80"/>
      <c r="HT49" s="80"/>
      <c r="HU49" s="80"/>
      <c r="HV49" s="80"/>
      <c r="HW49" s="80"/>
      <c r="HX49" s="80"/>
      <c r="HY49" s="80"/>
      <c r="HZ49" s="80"/>
      <c r="IA49" s="80"/>
      <c r="IB49" s="80"/>
      <c r="IC49" s="80"/>
      <c r="ID49" s="80"/>
      <c r="IE49" s="80"/>
      <c r="IF49" s="80"/>
      <c r="IG49" s="80"/>
      <c r="IH49" s="80"/>
      <c r="II49" s="80"/>
      <c r="IJ49" s="80"/>
      <c r="IK49" s="80"/>
      <c r="IL49" s="80"/>
      <c r="IM49" s="80"/>
      <c r="IN49" s="80"/>
      <c r="IO49" s="80"/>
      <c r="IP49" s="80"/>
      <c r="IQ49" s="80"/>
      <c r="IR49" s="80"/>
      <c r="IS49" s="80"/>
      <c r="IT49" s="80"/>
      <c r="IU49" s="80"/>
      <c r="IV49" s="80"/>
      <c r="IW49" s="80"/>
      <c r="IX49" s="80"/>
    </row>
    <row r="50" spans="1:258" x14ac:dyDescent="0.2">
      <c r="A50" s="78" t="str">
        <f ca="1">Database!E44</f>
        <v>Not installed</v>
      </c>
      <c r="B50" s="79"/>
      <c r="C50" s="79"/>
      <c r="D50" s="84"/>
      <c r="E50" s="87"/>
      <c r="F50" s="87"/>
      <c r="G50" s="87"/>
      <c r="H50" s="87"/>
      <c r="I50" s="85" t="str">
        <f ca="1">Database!$F44</f>
        <v>X</v>
      </c>
      <c r="J50" s="77"/>
      <c r="K50" s="75"/>
      <c r="L50" s="76"/>
      <c r="M50" s="195"/>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c r="EN50" s="80"/>
      <c r="EO50" s="80"/>
      <c r="EP50" s="80"/>
      <c r="EQ50" s="80"/>
      <c r="ER50" s="80"/>
      <c r="ES50" s="80"/>
      <c r="ET50" s="80"/>
      <c r="EU50" s="80"/>
      <c r="EV50" s="80"/>
      <c r="EW50" s="80"/>
      <c r="EX50" s="80"/>
      <c r="EY50" s="80"/>
      <c r="EZ50" s="80"/>
      <c r="FA50" s="80"/>
      <c r="FB50" s="80"/>
      <c r="FC50" s="80"/>
      <c r="FD50" s="80"/>
      <c r="FE50" s="80"/>
      <c r="FF50" s="80"/>
      <c r="FG50" s="80"/>
      <c r="FH50" s="80"/>
      <c r="FI50" s="80"/>
      <c r="FJ50" s="80"/>
      <c r="FK50" s="80"/>
      <c r="FL50" s="80"/>
      <c r="FM50" s="80"/>
      <c r="FN50" s="80"/>
      <c r="FO50" s="80"/>
      <c r="FP50" s="80"/>
      <c r="FQ50" s="80"/>
      <c r="FR50" s="80"/>
      <c r="FS50" s="80"/>
      <c r="FT50" s="80"/>
      <c r="FU50" s="80"/>
      <c r="FV50" s="80"/>
      <c r="FW50" s="80"/>
      <c r="FX50" s="80"/>
      <c r="FY50" s="80"/>
      <c r="FZ50" s="80"/>
      <c r="GA50" s="80"/>
      <c r="GB50" s="80"/>
      <c r="GC50" s="80"/>
      <c r="GD50" s="80"/>
      <c r="GE50" s="80"/>
      <c r="GF50" s="80"/>
      <c r="GG50" s="80"/>
      <c r="GH50" s="80"/>
      <c r="GI50" s="80"/>
      <c r="GJ50" s="80"/>
      <c r="GK50" s="80"/>
      <c r="GL50" s="80"/>
      <c r="GM50" s="80"/>
      <c r="GN50" s="80"/>
      <c r="GO50" s="80"/>
      <c r="GP50" s="80"/>
      <c r="GQ50" s="80"/>
      <c r="GR50" s="80"/>
      <c r="GS50" s="80"/>
      <c r="GT50" s="80"/>
      <c r="GU50" s="80"/>
      <c r="GV50" s="80"/>
      <c r="GW50" s="80"/>
      <c r="GX50" s="80"/>
      <c r="GY50" s="80"/>
      <c r="GZ50" s="80"/>
      <c r="HA50" s="80"/>
      <c r="HB50" s="80"/>
      <c r="HC50" s="80"/>
      <c r="HD50" s="80"/>
      <c r="HE50" s="80"/>
      <c r="HF50" s="80"/>
      <c r="HG50" s="80"/>
      <c r="HH50" s="80"/>
      <c r="HI50" s="80"/>
      <c r="HJ50" s="80"/>
      <c r="HK50" s="80"/>
      <c r="HL50" s="80"/>
      <c r="HM50" s="80"/>
      <c r="HN50" s="80"/>
      <c r="HO50" s="80"/>
      <c r="HP50" s="80"/>
      <c r="HQ50" s="80"/>
      <c r="HR50" s="80"/>
      <c r="HS50" s="80"/>
      <c r="HT50" s="80"/>
      <c r="HU50" s="80"/>
      <c r="HV50" s="80"/>
      <c r="HW50" s="80"/>
      <c r="HX50" s="80"/>
      <c r="HY50" s="80"/>
      <c r="HZ50" s="80"/>
      <c r="IA50" s="80"/>
      <c r="IB50" s="80"/>
      <c r="IC50" s="80"/>
      <c r="ID50" s="80"/>
      <c r="IE50" s="80"/>
      <c r="IF50" s="80"/>
      <c r="IG50" s="80"/>
      <c r="IH50" s="80"/>
      <c r="II50" s="80"/>
      <c r="IJ50" s="80"/>
      <c r="IK50" s="80"/>
      <c r="IL50" s="80"/>
      <c r="IM50" s="80"/>
      <c r="IN50" s="80"/>
      <c r="IO50" s="80"/>
      <c r="IP50" s="80"/>
      <c r="IQ50" s="80"/>
      <c r="IR50" s="80"/>
      <c r="IS50" s="80"/>
      <c r="IT50" s="80"/>
      <c r="IU50" s="80"/>
      <c r="IV50" s="80"/>
      <c r="IW50" s="80"/>
      <c r="IX50" s="80"/>
    </row>
    <row r="51" spans="1:258" x14ac:dyDescent="0.2">
      <c r="A51" s="81"/>
      <c r="B51" s="82"/>
      <c r="C51" s="82"/>
      <c r="D51" s="83"/>
      <c r="E51" s="86"/>
      <c r="F51" s="86"/>
      <c r="G51" s="86"/>
      <c r="H51" s="86"/>
      <c r="I51" s="86"/>
      <c r="J51" s="77"/>
      <c r="K51" s="75"/>
      <c r="L51" s="76"/>
      <c r="M51" s="195"/>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c r="EN51" s="80"/>
      <c r="EO51" s="80"/>
      <c r="EP51" s="80"/>
      <c r="EQ51" s="80"/>
      <c r="ER51" s="80"/>
      <c r="ES51" s="80"/>
      <c r="ET51" s="80"/>
      <c r="EU51" s="80"/>
      <c r="EV51" s="80"/>
      <c r="EW51" s="80"/>
      <c r="EX51" s="80"/>
      <c r="EY51" s="80"/>
      <c r="EZ51" s="80"/>
      <c r="FA51" s="80"/>
      <c r="FB51" s="80"/>
      <c r="FC51" s="80"/>
      <c r="FD51" s="80"/>
      <c r="FE51" s="80"/>
      <c r="FF51" s="80"/>
      <c r="FG51" s="80"/>
      <c r="FH51" s="80"/>
      <c r="FI51" s="80"/>
      <c r="FJ51" s="80"/>
      <c r="FK51" s="80"/>
      <c r="FL51" s="80"/>
      <c r="FM51" s="80"/>
      <c r="FN51" s="80"/>
      <c r="FO51" s="80"/>
      <c r="FP51" s="80"/>
      <c r="FQ51" s="80"/>
      <c r="FR51" s="80"/>
      <c r="FS51" s="80"/>
      <c r="FT51" s="80"/>
      <c r="FU51" s="80"/>
      <c r="FV51" s="80"/>
      <c r="FW51" s="80"/>
      <c r="FX51" s="80"/>
      <c r="FY51" s="80"/>
      <c r="FZ51" s="80"/>
      <c r="GA51" s="80"/>
      <c r="GB51" s="80"/>
      <c r="GC51" s="80"/>
      <c r="GD51" s="80"/>
      <c r="GE51" s="80"/>
      <c r="GF51" s="80"/>
      <c r="GG51" s="80"/>
      <c r="GH51" s="80"/>
      <c r="GI51" s="80"/>
      <c r="GJ51" s="80"/>
      <c r="GK51" s="80"/>
      <c r="GL51" s="80"/>
      <c r="GM51" s="80"/>
      <c r="GN51" s="80"/>
      <c r="GO51" s="80"/>
      <c r="GP51" s="80"/>
      <c r="GQ51" s="80"/>
      <c r="GR51" s="80"/>
      <c r="GS51" s="80"/>
      <c r="GT51" s="80"/>
      <c r="GU51" s="80"/>
      <c r="GV51" s="80"/>
      <c r="GW51" s="80"/>
      <c r="GX51" s="80"/>
      <c r="GY51" s="80"/>
      <c r="GZ51" s="80"/>
      <c r="HA51" s="80"/>
      <c r="HB51" s="80"/>
      <c r="HC51" s="80"/>
      <c r="HD51" s="80"/>
      <c r="HE51" s="80"/>
      <c r="HF51" s="80"/>
      <c r="HG51" s="80"/>
      <c r="HH51" s="80"/>
      <c r="HI51" s="80"/>
      <c r="HJ51" s="80"/>
      <c r="HK51" s="80"/>
      <c r="HL51" s="80"/>
      <c r="HM51" s="80"/>
      <c r="HN51" s="80"/>
      <c r="HO51" s="80"/>
      <c r="HP51" s="80"/>
      <c r="HQ51" s="80"/>
      <c r="HR51" s="80"/>
      <c r="HS51" s="80"/>
      <c r="HT51" s="80"/>
      <c r="HU51" s="80"/>
      <c r="HV51" s="80"/>
      <c r="HW51" s="80"/>
      <c r="HX51" s="80"/>
      <c r="HY51" s="80"/>
      <c r="HZ51" s="80"/>
      <c r="IA51" s="80"/>
      <c r="IB51" s="80"/>
      <c r="IC51" s="80"/>
      <c r="ID51" s="80"/>
      <c r="IE51" s="80"/>
      <c r="IF51" s="80"/>
      <c r="IG51" s="80"/>
      <c r="IH51" s="80"/>
      <c r="II51" s="80"/>
      <c r="IJ51" s="80"/>
      <c r="IK51" s="80"/>
      <c r="IL51" s="80"/>
      <c r="IM51" s="80"/>
      <c r="IN51" s="80"/>
      <c r="IO51" s="80"/>
      <c r="IP51" s="80"/>
      <c r="IQ51" s="80"/>
      <c r="IR51" s="80"/>
      <c r="IS51" s="80"/>
      <c r="IT51" s="80"/>
      <c r="IU51" s="80"/>
      <c r="IV51" s="80"/>
      <c r="IW51" s="80"/>
      <c r="IX51" s="80"/>
    </row>
    <row r="52" spans="1:258" x14ac:dyDescent="0.2">
      <c r="A52" s="71" t="str">
        <f ca="1">Database!B49</f>
        <v>Digital Inputs 1 to 16</v>
      </c>
      <c r="B52" s="67"/>
      <c r="C52" s="79"/>
      <c r="D52" s="84"/>
      <c r="E52" s="87"/>
      <c r="F52" s="87"/>
      <c r="G52" s="87"/>
      <c r="H52" s="87"/>
      <c r="I52" s="87"/>
      <c r="J52" s="77"/>
      <c r="K52" s="75"/>
      <c r="L52" s="76"/>
      <c r="M52" s="195"/>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c r="EN52" s="80"/>
      <c r="EO52" s="80"/>
      <c r="EP52" s="80"/>
      <c r="EQ52" s="80"/>
      <c r="ER52" s="80"/>
      <c r="ES52" s="80"/>
      <c r="ET52" s="80"/>
      <c r="EU52" s="80"/>
      <c r="EV52" s="80"/>
      <c r="EW52" s="80"/>
      <c r="EX52" s="80"/>
      <c r="EY52" s="80"/>
      <c r="EZ52" s="80"/>
      <c r="FA52" s="80"/>
      <c r="FB52" s="80"/>
      <c r="FC52" s="80"/>
      <c r="FD52" s="80"/>
      <c r="FE52" s="80"/>
      <c r="FF52" s="80"/>
      <c r="FG52" s="80"/>
      <c r="FH52" s="80"/>
      <c r="FI52" s="80"/>
      <c r="FJ52" s="80"/>
      <c r="FK52" s="80"/>
      <c r="FL52" s="80"/>
      <c r="FM52" s="80"/>
      <c r="FN52" s="80"/>
      <c r="FO52" s="80"/>
      <c r="FP52" s="80"/>
      <c r="FQ52" s="80"/>
      <c r="FR52" s="80"/>
      <c r="FS52" s="80"/>
      <c r="FT52" s="80"/>
      <c r="FU52" s="80"/>
      <c r="FV52" s="80"/>
      <c r="FW52" s="80"/>
      <c r="FX52" s="80"/>
      <c r="FY52" s="80"/>
      <c r="FZ52" s="80"/>
      <c r="GA52" s="80"/>
      <c r="GB52" s="80"/>
      <c r="GC52" s="80"/>
      <c r="GD52" s="80"/>
      <c r="GE52" s="80"/>
      <c r="GF52" s="80"/>
      <c r="GG52" s="80"/>
      <c r="GH52" s="80"/>
      <c r="GI52" s="80"/>
      <c r="GJ52" s="80"/>
      <c r="GK52" s="80"/>
      <c r="GL52" s="80"/>
      <c r="GM52" s="80"/>
      <c r="GN52" s="80"/>
      <c r="GO52" s="80"/>
      <c r="GP52" s="80"/>
      <c r="GQ52" s="80"/>
      <c r="GR52" s="80"/>
      <c r="GS52" s="80"/>
      <c r="GT52" s="80"/>
      <c r="GU52" s="80"/>
      <c r="GV52" s="80"/>
      <c r="GW52" s="80"/>
      <c r="GX52" s="80"/>
      <c r="GY52" s="80"/>
      <c r="GZ52" s="80"/>
      <c r="HA52" s="80"/>
      <c r="HB52" s="80"/>
      <c r="HC52" s="80"/>
      <c r="HD52" s="80"/>
      <c r="HE52" s="80"/>
      <c r="HF52" s="80"/>
      <c r="HG52" s="80"/>
      <c r="HH52" s="80"/>
      <c r="HI52" s="80"/>
      <c r="HJ52" s="80"/>
      <c r="HK52" s="80"/>
      <c r="HL52" s="80"/>
      <c r="HM52" s="80"/>
      <c r="HN52" s="80"/>
      <c r="HO52" s="80"/>
      <c r="HP52" s="80"/>
      <c r="HQ52" s="80"/>
      <c r="HR52" s="80"/>
      <c r="HS52" s="80"/>
      <c r="HT52" s="80"/>
      <c r="HU52" s="80"/>
      <c r="HV52" s="80"/>
      <c r="HW52" s="80"/>
      <c r="HX52" s="80"/>
      <c r="HY52" s="80"/>
      <c r="HZ52" s="80"/>
      <c r="IA52" s="80"/>
      <c r="IB52" s="80"/>
      <c r="IC52" s="80"/>
      <c r="ID52" s="80"/>
      <c r="IE52" s="80"/>
      <c r="IF52" s="80"/>
      <c r="IG52" s="80"/>
      <c r="IH52" s="80"/>
      <c r="II52" s="80"/>
      <c r="IJ52" s="80"/>
      <c r="IK52" s="80"/>
      <c r="IL52" s="80"/>
      <c r="IM52" s="80"/>
      <c r="IN52" s="80"/>
      <c r="IO52" s="80"/>
      <c r="IP52" s="80"/>
      <c r="IQ52" s="80"/>
      <c r="IR52" s="80"/>
      <c r="IS52" s="80"/>
      <c r="IT52" s="80"/>
      <c r="IU52" s="80"/>
      <c r="IV52" s="80"/>
      <c r="IW52" s="80"/>
      <c r="IX52" s="80"/>
    </row>
    <row r="53" spans="1:258" x14ac:dyDescent="0.2">
      <c r="A53" s="78" t="str">
        <f ca="1">Database!E50</f>
        <v>24 V / 48 V</v>
      </c>
      <c r="B53" s="79"/>
      <c r="C53" s="79"/>
      <c r="D53" s="84"/>
      <c r="E53" s="87"/>
      <c r="F53" s="87"/>
      <c r="G53" s="87"/>
      <c r="H53" s="87"/>
      <c r="I53" s="87"/>
      <c r="J53" s="85">
        <f ca="1">Database!$F50</f>
        <v>1</v>
      </c>
      <c r="K53" s="75"/>
      <c r="L53" s="76"/>
      <c r="M53" s="195"/>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c r="EN53" s="80"/>
      <c r="EO53" s="80"/>
      <c r="EP53" s="80"/>
      <c r="EQ53" s="80"/>
      <c r="ER53" s="80"/>
      <c r="ES53" s="80"/>
      <c r="ET53" s="80"/>
      <c r="EU53" s="80"/>
      <c r="EV53" s="80"/>
      <c r="EW53" s="80"/>
      <c r="EX53" s="80"/>
      <c r="EY53" s="80"/>
      <c r="EZ53" s="80"/>
      <c r="FA53" s="80"/>
      <c r="FB53" s="80"/>
      <c r="FC53" s="80"/>
      <c r="FD53" s="80"/>
      <c r="FE53" s="80"/>
      <c r="FF53" s="80"/>
      <c r="FG53" s="80"/>
      <c r="FH53" s="80"/>
      <c r="FI53" s="80"/>
      <c r="FJ53" s="80"/>
      <c r="FK53" s="80"/>
      <c r="FL53" s="80"/>
      <c r="FM53" s="80"/>
      <c r="FN53" s="80"/>
      <c r="FO53" s="80"/>
      <c r="FP53" s="80"/>
      <c r="FQ53" s="80"/>
      <c r="FR53" s="80"/>
      <c r="FS53" s="80"/>
      <c r="FT53" s="80"/>
      <c r="FU53" s="80"/>
      <c r="FV53" s="80"/>
      <c r="FW53" s="80"/>
      <c r="FX53" s="80"/>
      <c r="FY53" s="80"/>
      <c r="FZ53" s="80"/>
      <c r="GA53" s="80"/>
      <c r="GB53" s="80"/>
      <c r="GC53" s="80"/>
      <c r="GD53" s="80"/>
      <c r="GE53" s="80"/>
      <c r="GF53" s="80"/>
      <c r="GG53" s="80"/>
      <c r="GH53" s="80"/>
      <c r="GI53" s="80"/>
      <c r="GJ53" s="80"/>
      <c r="GK53" s="80"/>
      <c r="GL53" s="80"/>
      <c r="GM53" s="80"/>
      <c r="GN53" s="80"/>
      <c r="GO53" s="80"/>
      <c r="GP53" s="80"/>
      <c r="GQ53" s="80"/>
      <c r="GR53" s="80"/>
      <c r="GS53" s="80"/>
      <c r="GT53" s="80"/>
      <c r="GU53" s="80"/>
      <c r="GV53" s="80"/>
      <c r="GW53" s="80"/>
      <c r="GX53" s="80"/>
      <c r="GY53" s="80"/>
      <c r="GZ53" s="80"/>
      <c r="HA53" s="80"/>
      <c r="HB53" s="80"/>
      <c r="HC53" s="80"/>
      <c r="HD53" s="80"/>
      <c r="HE53" s="80"/>
      <c r="HF53" s="80"/>
      <c r="HG53" s="80"/>
      <c r="HH53" s="80"/>
      <c r="HI53" s="80"/>
      <c r="HJ53" s="80"/>
      <c r="HK53" s="80"/>
      <c r="HL53" s="80"/>
      <c r="HM53" s="80"/>
      <c r="HN53" s="80"/>
      <c r="HO53" s="80"/>
      <c r="HP53" s="80"/>
      <c r="HQ53" s="80"/>
      <c r="HR53" s="80"/>
      <c r="HS53" s="80"/>
      <c r="HT53" s="80"/>
      <c r="HU53" s="80"/>
      <c r="HV53" s="80"/>
      <c r="HW53" s="80"/>
      <c r="HX53" s="80"/>
      <c r="HY53" s="80"/>
      <c r="HZ53" s="80"/>
      <c r="IA53" s="80"/>
      <c r="IB53" s="80"/>
      <c r="IC53" s="80"/>
      <c r="ID53" s="80"/>
      <c r="IE53" s="80"/>
      <c r="IF53" s="80"/>
      <c r="IG53" s="80"/>
      <c r="IH53" s="80"/>
      <c r="II53" s="80"/>
      <c r="IJ53" s="80"/>
      <c r="IK53" s="80"/>
      <c r="IL53" s="80"/>
      <c r="IM53" s="80"/>
      <c r="IN53" s="80"/>
      <c r="IO53" s="80"/>
      <c r="IP53" s="80"/>
      <c r="IQ53" s="80"/>
      <c r="IR53" s="80"/>
      <c r="IS53" s="80"/>
      <c r="IT53" s="80"/>
      <c r="IU53" s="80"/>
      <c r="IV53" s="80"/>
      <c r="IW53" s="80"/>
      <c r="IX53" s="80"/>
    </row>
    <row r="54" spans="1:258" x14ac:dyDescent="0.2">
      <c r="A54" s="78" t="str">
        <f ca="1">Database!E51</f>
        <v>125 V</v>
      </c>
      <c r="B54" s="79"/>
      <c r="C54" s="79"/>
      <c r="D54" s="84"/>
      <c r="E54" s="87"/>
      <c r="F54" s="87"/>
      <c r="G54" s="87"/>
      <c r="H54" s="87"/>
      <c r="I54" s="87"/>
      <c r="J54" s="85">
        <f ca="1">Database!$F51</f>
        <v>2</v>
      </c>
      <c r="K54" s="75"/>
      <c r="L54" s="76"/>
      <c r="M54" s="195"/>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c r="EN54" s="80"/>
      <c r="EO54" s="80"/>
      <c r="EP54" s="80"/>
      <c r="EQ54" s="80"/>
      <c r="ER54" s="80"/>
      <c r="ES54" s="80"/>
      <c r="ET54" s="80"/>
      <c r="EU54" s="80"/>
      <c r="EV54" s="80"/>
      <c r="EW54" s="80"/>
      <c r="EX54" s="80"/>
      <c r="EY54" s="80"/>
      <c r="EZ54" s="80"/>
      <c r="FA54" s="80"/>
      <c r="FB54" s="80"/>
      <c r="FC54" s="80"/>
      <c r="FD54" s="80"/>
      <c r="FE54" s="80"/>
      <c r="FF54" s="80"/>
      <c r="FG54" s="80"/>
      <c r="FH54" s="80"/>
      <c r="FI54" s="80"/>
      <c r="FJ54" s="80"/>
      <c r="FK54" s="80"/>
      <c r="FL54" s="80"/>
      <c r="FM54" s="80"/>
      <c r="FN54" s="80"/>
      <c r="FO54" s="80"/>
      <c r="FP54" s="80"/>
      <c r="FQ54" s="80"/>
      <c r="FR54" s="80"/>
      <c r="FS54" s="80"/>
      <c r="FT54" s="80"/>
      <c r="FU54" s="80"/>
      <c r="FV54" s="80"/>
      <c r="FW54" s="80"/>
      <c r="FX54" s="80"/>
      <c r="FY54" s="80"/>
      <c r="FZ54" s="80"/>
      <c r="GA54" s="80"/>
      <c r="GB54" s="80"/>
      <c r="GC54" s="80"/>
      <c r="GD54" s="80"/>
      <c r="GE54" s="80"/>
      <c r="GF54" s="80"/>
      <c r="GG54" s="80"/>
      <c r="GH54" s="80"/>
      <c r="GI54" s="80"/>
      <c r="GJ54" s="80"/>
      <c r="GK54" s="80"/>
      <c r="GL54" s="80"/>
      <c r="GM54" s="80"/>
      <c r="GN54" s="80"/>
      <c r="GO54" s="80"/>
      <c r="GP54" s="80"/>
      <c r="GQ54" s="80"/>
      <c r="GR54" s="80"/>
      <c r="GS54" s="80"/>
      <c r="GT54" s="80"/>
      <c r="GU54" s="80"/>
      <c r="GV54" s="80"/>
      <c r="GW54" s="80"/>
      <c r="GX54" s="80"/>
      <c r="GY54" s="80"/>
      <c r="GZ54" s="80"/>
      <c r="HA54" s="80"/>
      <c r="HB54" s="80"/>
      <c r="HC54" s="80"/>
      <c r="HD54" s="80"/>
      <c r="HE54" s="80"/>
      <c r="HF54" s="80"/>
      <c r="HG54" s="80"/>
      <c r="HH54" s="80"/>
      <c r="HI54" s="80"/>
      <c r="HJ54" s="80"/>
      <c r="HK54" s="80"/>
      <c r="HL54" s="80"/>
      <c r="HM54" s="80"/>
      <c r="HN54" s="80"/>
      <c r="HO54" s="80"/>
      <c r="HP54" s="80"/>
      <c r="HQ54" s="80"/>
      <c r="HR54" s="80"/>
      <c r="HS54" s="80"/>
      <c r="HT54" s="80"/>
      <c r="HU54" s="80"/>
      <c r="HV54" s="80"/>
      <c r="HW54" s="80"/>
      <c r="HX54" s="80"/>
      <c r="HY54" s="80"/>
      <c r="HZ54" s="80"/>
      <c r="IA54" s="80"/>
      <c r="IB54" s="80"/>
      <c r="IC54" s="80"/>
      <c r="ID54" s="80"/>
      <c r="IE54" s="80"/>
      <c r="IF54" s="80"/>
      <c r="IG54" s="80"/>
      <c r="IH54" s="80"/>
      <c r="II54" s="80"/>
      <c r="IJ54" s="80"/>
      <c r="IK54" s="80"/>
      <c r="IL54" s="80"/>
      <c r="IM54" s="80"/>
      <c r="IN54" s="80"/>
      <c r="IO54" s="80"/>
      <c r="IP54" s="80"/>
      <c r="IQ54" s="80"/>
      <c r="IR54" s="80"/>
      <c r="IS54" s="80"/>
      <c r="IT54" s="80"/>
      <c r="IU54" s="80"/>
      <c r="IV54" s="80"/>
      <c r="IW54" s="80"/>
      <c r="IX54" s="80"/>
    </row>
    <row r="55" spans="1:258" x14ac:dyDescent="0.2">
      <c r="A55" s="78" t="str">
        <f ca="1">Database!E52</f>
        <v>250 V</v>
      </c>
      <c r="B55" s="79"/>
      <c r="C55" s="79"/>
      <c r="D55" s="84"/>
      <c r="E55" s="87"/>
      <c r="F55" s="87"/>
      <c r="G55" s="87"/>
      <c r="H55" s="87"/>
      <c r="I55" s="87"/>
      <c r="J55" s="85">
        <f ca="1">Database!$F52</f>
        <v>3</v>
      </c>
      <c r="K55" s="75"/>
      <c r="L55" s="76"/>
      <c r="M55" s="195"/>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c r="EN55" s="80"/>
      <c r="EO55" s="80"/>
      <c r="EP55" s="80"/>
      <c r="EQ55" s="80"/>
      <c r="ER55" s="80"/>
      <c r="ES55" s="80"/>
      <c r="ET55" s="80"/>
      <c r="EU55" s="80"/>
      <c r="EV55" s="80"/>
      <c r="EW55" s="80"/>
      <c r="EX55" s="80"/>
      <c r="EY55" s="80"/>
      <c r="EZ55" s="80"/>
      <c r="FA55" s="80"/>
      <c r="FB55" s="80"/>
      <c r="FC55" s="80"/>
      <c r="FD55" s="80"/>
      <c r="FE55" s="80"/>
      <c r="FF55" s="80"/>
      <c r="FG55" s="80"/>
      <c r="FH55" s="80"/>
      <c r="FI55" s="80"/>
      <c r="FJ55" s="80"/>
      <c r="FK55" s="80"/>
      <c r="FL55" s="80"/>
      <c r="FM55" s="80"/>
      <c r="FN55" s="80"/>
      <c r="FO55" s="80"/>
      <c r="FP55" s="80"/>
      <c r="FQ55" s="80"/>
      <c r="FR55" s="80"/>
      <c r="FS55" s="80"/>
      <c r="FT55" s="80"/>
      <c r="FU55" s="80"/>
      <c r="FV55" s="80"/>
      <c r="FW55" s="80"/>
      <c r="FX55" s="80"/>
      <c r="FY55" s="80"/>
      <c r="FZ55" s="80"/>
      <c r="GA55" s="80"/>
      <c r="GB55" s="80"/>
      <c r="GC55" s="80"/>
      <c r="GD55" s="80"/>
      <c r="GE55" s="80"/>
      <c r="GF55" s="80"/>
      <c r="GG55" s="80"/>
      <c r="GH55" s="80"/>
      <c r="GI55" s="80"/>
      <c r="GJ55" s="80"/>
      <c r="GK55" s="80"/>
      <c r="GL55" s="80"/>
      <c r="GM55" s="80"/>
      <c r="GN55" s="80"/>
      <c r="GO55" s="80"/>
      <c r="GP55" s="80"/>
      <c r="GQ55" s="80"/>
      <c r="GR55" s="80"/>
      <c r="GS55" s="80"/>
      <c r="GT55" s="80"/>
      <c r="GU55" s="80"/>
      <c r="GV55" s="80"/>
      <c r="GW55" s="80"/>
      <c r="GX55" s="80"/>
      <c r="GY55" s="80"/>
      <c r="GZ55" s="80"/>
      <c r="HA55" s="80"/>
      <c r="HB55" s="80"/>
      <c r="HC55" s="80"/>
      <c r="HD55" s="80"/>
      <c r="HE55" s="80"/>
      <c r="HF55" s="80"/>
      <c r="HG55" s="80"/>
      <c r="HH55" s="80"/>
      <c r="HI55" s="80"/>
      <c r="HJ55" s="80"/>
      <c r="HK55" s="80"/>
      <c r="HL55" s="80"/>
      <c r="HM55" s="80"/>
      <c r="HN55" s="80"/>
      <c r="HO55" s="80"/>
      <c r="HP55" s="80"/>
      <c r="HQ55" s="80"/>
      <c r="HR55" s="80"/>
      <c r="HS55" s="80"/>
      <c r="HT55" s="80"/>
      <c r="HU55" s="80"/>
      <c r="HV55" s="80"/>
      <c r="HW55" s="80"/>
      <c r="HX55" s="80"/>
      <c r="HY55" s="80"/>
      <c r="HZ55" s="80"/>
      <c r="IA55" s="80"/>
      <c r="IB55" s="80"/>
      <c r="IC55" s="80"/>
      <c r="ID55" s="80"/>
      <c r="IE55" s="80"/>
      <c r="IF55" s="80"/>
      <c r="IG55" s="80"/>
      <c r="IH55" s="80"/>
      <c r="II55" s="80"/>
      <c r="IJ55" s="80"/>
      <c r="IK55" s="80"/>
      <c r="IL55" s="80"/>
      <c r="IM55" s="80"/>
      <c r="IN55" s="80"/>
      <c r="IO55" s="80"/>
      <c r="IP55" s="80"/>
      <c r="IQ55" s="80"/>
      <c r="IR55" s="80"/>
      <c r="IS55" s="80"/>
      <c r="IT55" s="80"/>
      <c r="IU55" s="80"/>
      <c r="IV55" s="80"/>
      <c r="IW55" s="80"/>
      <c r="IX55" s="80"/>
    </row>
    <row r="56" spans="1:258" x14ac:dyDescent="0.2">
      <c r="A56" s="78" t="str">
        <f ca="1">Database!E53</f>
        <v>Not installed</v>
      </c>
      <c r="B56" s="79"/>
      <c r="C56" s="79"/>
      <c r="D56" s="84"/>
      <c r="E56" s="87"/>
      <c r="F56" s="87"/>
      <c r="G56" s="87"/>
      <c r="H56" s="87"/>
      <c r="I56" s="87"/>
      <c r="J56" s="85" t="str">
        <f ca="1">Database!$F53</f>
        <v>X</v>
      </c>
      <c r="K56" s="75"/>
      <c r="L56" s="76"/>
      <c r="M56" s="195"/>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c r="EN56" s="80"/>
      <c r="EO56" s="80"/>
      <c r="EP56" s="80"/>
      <c r="EQ56" s="80"/>
      <c r="ER56" s="80"/>
      <c r="ES56" s="80"/>
      <c r="ET56" s="80"/>
      <c r="EU56" s="80"/>
      <c r="EV56" s="80"/>
      <c r="EW56" s="80"/>
      <c r="EX56" s="80"/>
      <c r="EY56" s="80"/>
      <c r="EZ56" s="80"/>
      <c r="FA56" s="80"/>
      <c r="FB56" s="80"/>
      <c r="FC56" s="80"/>
      <c r="FD56" s="80"/>
      <c r="FE56" s="80"/>
      <c r="FF56" s="80"/>
      <c r="FG56" s="80"/>
      <c r="FH56" s="80"/>
      <c r="FI56" s="80"/>
      <c r="FJ56" s="80"/>
      <c r="FK56" s="80"/>
      <c r="FL56" s="80"/>
      <c r="FM56" s="80"/>
      <c r="FN56" s="80"/>
      <c r="FO56" s="80"/>
      <c r="FP56" s="80"/>
      <c r="FQ56" s="80"/>
      <c r="FR56" s="80"/>
      <c r="FS56" s="80"/>
      <c r="FT56" s="80"/>
      <c r="FU56" s="80"/>
      <c r="FV56" s="80"/>
      <c r="FW56" s="80"/>
      <c r="FX56" s="80"/>
      <c r="FY56" s="80"/>
      <c r="FZ56" s="80"/>
      <c r="GA56" s="80"/>
      <c r="GB56" s="80"/>
      <c r="GC56" s="80"/>
      <c r="GD56" s="80"/>
      <c r="GE56" s="80"/>
      <c r="GF56" s="80"/>
      <c r="GG56" s="80"/>
      <c r="GH56" s="80"/>
      <c r="GI56" s="80"/>
      <c r="GJ56" s="80"/>
      <c r="GK56" s="80"/>
      <c r="GL56" s="80"/>
      <c r="GM56" s="80"/>
      <c r="GN56" s="80"/>
      <c r="GO56" s="80"/>
      <c r="GP56" s="80"/>
      <c r="GQ56" s="80"/>
      <c r="GR56" s="80"/>
      <c r="GS56" s="80"/>
      <c r="GT56" s="80"/>
      <c r="GU56" s="80"/>
      <c r="GV56" s="80"/>
      <c r="GW56" s="80"/>
      <c r="GX56" s="80"/>
      <c r="GY56" s="80"/>
      <c r="GZ56" s="80"/>
      <c r="HA56" s="80"/>
      <c r="HB56" s="80"/>
      <c r="HC56" s="80"/>
      <c r="HD56" s="80"/>
      <c r="HE56" s="80"/>
      <c r="HF56" s="80"/>
      <c r="HG56" s="80"/>
      <c r="HH56" s="80"/>
      <c r="HI56" s="80"/>
      <c r="HJ56" s="80"/>
      <c r="HK56" s="80"/>
      <c r="HL56" s="80"/>
      <c r="HM56" s="80"/>
      <c r="HN56" s="80"/>
      <c r="HO56" s="80"/>
      <c r="HP56" s="80"/>
      <c r="HQ56" s="80"/>
      <c r="HR56" s="80"/>
      <c r="HS56" s="80"/>
      <c r="HT56" s="80"/>
      <c r="HU56" s="80"/>
      <c r="HV56" s="80"/>
      <c r="HW56" s="80"/>
      <c r="HX56" s="80"/>
      <c r="HY56" s="80"/>
      <c r="HZ56" s="80"/>
      <c r="IA56" s="80"/>
      <c r="IB56" s="80"/>
      <c r="IC56" s="80"/>
      <c r="ID56" s="80"/>
      <c r="IE56" s="80"/>
      <c r="IF56" s="80"/>
      <c r="IG56" s="80"/>
      <c r="IH56" s="80"/>
      <c r="II56" s="80"/>
      <c r="IJ56" s="80"/>
      <c r="IK56" s="80"/>
      <c r="IL56" s="80"/>
      <c r="IM56" s="80"/>
      <c r="IN56" s="80"/>
      <c r="IO56" s="80"/>
      <c r="IP56" s="80"/>
      <c r="IQ56" s="80"/>
      <c r="IR56" s="80"/>
      <c r="IS56" s="80"/>
      <c r="IT56" s="80"/>
      <c r="IU56" s="80"/>
      <c r="IV56" s="80"/>
      <c r="IW56" s="80"/>
      <c r="IX56" s="80"/>
    </row>
    <row r="57" spans="1:258" x14ac:dyDescent="0.2">
      <c r="A57" s="81"/>
      <c r="B57" s="82"/>
      <c r="C57" s="82"/>
      <c r="D57" s="83"/>
      <c r="E57" s="86"/>
      <c r="F57" s="86"/>
      <c r="G57" s="86"/>
      <c r="H57" s="86"/>
      <c r="I57" s="86"/>
      <c r="J57" s="122"/>
      <c r="K57" s="75"/>
      <c r="L57" s="76"/>
      <c r="M57" s="195"/>
    </row>
    <row r="58" spans="1:258" x14ac:dyDescent="0.2">
      <c r="A58" s="71" t="str">
        <f ca="1">Database!B55</f>
        <v>Digital Inputs 17 to 32</v>
      </c>
      <c r="B58" s="67"/>
      <c r="C58" s="79"/>
      <c r="D58" s="84"/>
      <c r="E58" s="87"/>
      <c r="F58" s="87"/>
      <c r="G58" s="87"/>
      <c r="H58" s="87"/>
      <c r="I58" s="87"/>
      <c r="J58" s="63"/>
      <c r="K58" s="75"/>
      <c r="L58" s="76"/>
      <c r="M58" s="195"/>
    </row>
    <row r="59" spans="1:258" x14ac:dyDescent="0.2">
      <c r="A59" s="78" t="str">
        <f ca="1">Database!E56</f>
        <v>24 V / 48 V</v>
      </c>
      <c r="B59" s="79"/>
      <c r="C59" s="79"/>
      <c r="D59" s="84"/>
      <c r="E59" s="87"/>
      <c r="F59" s="87"/>
      <c r="G59" s="87"/>
      <c r="H59" s="87"/>
      <c r="I59" s="87"/>
      <c r="J59" s="63"/>
      <c r="K59" s="85">
        <f ca="1">Database!$F56</f>
        <v>1</v>
      </c>
      <c r="L59" s="76"/>
      <c r="M59" s="195"/>
    </row>
    <row r="60" spans="1:258" x14ac:dyDescent="0.2">
      <c r="A60" s="78" t="str">
        <f ca="1">Database!E57</f>
        <v>125 V</v>
      </c>
      <c r="B60" s="79"/>
      <c r="C60" s="79"/>
      <c r="D60" s="84"/>
      <c r="E60" s="87"/>
      <c r="F60" s="87"/>
      <c r="G60" s="87"/>
      <c r="H60" s="87"/>
      <c r="I60" s="87"/>
      <c r="J60" s="63"/>
      <c r="K60" s="85">
        <f ca="1">Database!$F57</f>
        <v>2</v>
      </c>
      <c r="L60" s="76"/>
      <c r="M60" s="195"/>
    </row>
    <row r="61" spans="1:258" x14ac:dyDescent="0.2">
      <c r="A61" s="78" t="str">
        <f ca="1">Database!E58</f>
        <v>250 V</v>
      </c>
      <c r="B61" s="79"/>
      <c r="C61" s="79"/>
      <c r="D61" s="84"/>
      <c r="E61" s="87"/>
      <c r="F61" s="87"/>
      <c r="G61" s="87"/>
      <c r="H61" s="87"/>
      <c r="I61" s="87"/>
      <c r="J61" s="63"/>
      <c r="K61" s="85">
        <f ca="1">Database!$F58</f>
        <v>3</v>
      </c>
      <c r="L61" s="76"/>
      <c r="M61" s="195"/>
    </row>
    <row r="62" spans="1:258" x14ac:dyDescent="0.2">
      <c r="A62" s="78" t="str">
        <f ca="1">Database!E59</f>
        <v>Not installed</v>
      </c>
      <c r="B62" s="79"/>
      <c r="C62" s="79"/>
      <c r="D62" s="84"/>
      <c r="E62" s="87"/>
      <c r="F62" s="87"/>
      <c r="G62" s="87"/>
      <c r="H62" s="87"/>
      <c r="I62" s="87"/>
      <c r="J62" s="63"/>
      <c r="K62" s="85" t="str">
        <f ca="1">Database!$F59</f>
        <v>X</v>
      </c>
      <c r="L62" s="76"/>
      <c r="M62" s="195"/>
    </row>
    <row r="63" spans="1:258" x14ac:dyDescent="0.2">
      <c r="A63" s="81"/>
      <c r="B63" s="82"/>
      <c r="C63" s="82"/>
      <c r="D63" s="83"/>
      <c r="E63" s="86"/>
      <c r="F63" s="86"/>
      <c r="G63" s="86"/>
      <c r="H63" s="86"/>
      <c r="I63" s="86"/>
      <c r="J63" s="123"/>
      <c r="K63" s="123"/>
      <c r="L63" s="76"/>
      <c r="M63" s="195"/>
    </row>
    <row r="64" spans="1:258" x14ac:dyDescent="0.2">
      <c r="A64" s="71" t="str">
        <f ca="1">Database!B61</f>
        <v>Customization / Regionalisation</v>
      </c>
      <c r="B64" s="67"/>
      <c r="C64" s="79"/>
      <c r="D64" s="84"/>
      <c r="E64" s="87"/>
      <c r="F64" s="87"/>
      <c r="G64" s="87"/>
      <c r="H64" s="87"/>
      <c r="I64" s="87"/>
      <c r="J64" s="63"/>
      <c r="K64" s="63"/>
      <c r="L64" s="76"/>
      <c r="M64" s="195"/>
    </row>
    <row r="65" spans="1:13" x14ac:dyDescent="0.2">
      <c r="A65" s="78" t="str">
        <f ca="1">Database!E62</f>
        <v>GE branding</v>
      </c>
      <c r="B65" s="79"/>
      <c r="C65" s="79"/>
      <c r="D65" s="84"/>
      <c r="E65" s="87"/>
      <c r="F65" s="87"/>
      <c r="G65" s="87"/>
      <c r="H65" s="87"/>
      <c r="I65" s="87"/>
      <c r="J65" s="63"/>
      <c r="K65" s="63"/>
      <c r="L65" s="85" t="str">
        <f ca="1">Database!$F62</f>
        <v>C</v>
      </c>
      <c r="M65" s="195"/>
    </row>
    <row r="66" spans="1:13" x14ac:dyDescent="0.2">
      <c r="A66" s="81"/>
      <c r="B66" s="79"/>
      <c r="C66" s="82"/>
      <c r="D66" s="83"/>
      <c r="E66" s="86"/>
      <c r="F66" s="86"/>
      <c r="G66" s="86"/>
      <c r="H66" s="86"/>
      <c r="I66" s="86"/>
      <c r="J66" s="123"/>
      <c r="K66" s="123"/>
      <c r="L66" s="123"/>
      <c r="M66" s="195"/>
    </row>
    <row r="67" spans="1:13" x14ac:dyDescent="0.2">
      <c r="A67" s="71" t="str">
        <f ca="1">Database!B65</f>
        <v>Hardware Design Suffix</v>
      </c>
      <c r="B67" s="67"/>
      <c r="C67" s="79"/>
      <c r="D67" s="84"/>
      <c r="E67" s="87"/>
      <c r="F67" s="87"/>
      <c r="G67" s="87"/>
      <c r="H67" s="87"/>
      <c r="I67" s="87"/>
      <c r="J67" s="63"/>
      <c r="K67" s="63"/>
      <c r="L67" s="63"/>
      <c r="M67" s="195"/>
    </row>
    <row r="68" spans="1:13" x14ac:dyDescent="0.2">
      <c r="A68" s="78" t="str">
        <f ca="1">Database!E66</f>
        <v>Third version</v>
      </c>
      <c r="B68" s="79"/>
      <c r="C68" s="79"/>
      <c r="D68" s="84"/>
      <c r="E68" s="87"/>
      <c r="F68" s="87"/>
      <c r="G68" s="87"/>
      <c r="H68" s="87"/>
      <c r="I68" s="87"/>
      <c r="J68" s="63"/>
      <c r="K68" s="63"/>
      <c r="L68" s="63"/>
      <c r="M68" s="85" t="str">
        <f ca="1">Database!$F66</f>
        <v>C</v>
      </c>
    </row>
    <row r="69" spans="1:13" x14ac:dyDescent="0.2">
      <c r="A69" s="81"/>
      <c r="B69" s="82"/>
      <c r="C69" s="82"/>
      <c r="D69" s="83"/>
      <c r="E69" s="86"/>
      <c r="F69" s="86"/>
      <c r="G69" s="86"/>
      <c r="H69" s="86"/>
      <c r="I69" s="86"/>
      <c r="J69" s="123"/>
      <c r="K69" s="123"/>
      <c r="L69" s="123"/>
      <c r="M69" s="194"/>
    </row>
    <row r="70" spans="1:13" x14ac:dyDescent="0.2">
      <c r="A70" s="78"/>
      <c r="B70" s="79"/>
      <c r="C70" s="79"/>
      <c r="D70" s="84"/>
      <c r="E70" s="87"/>
      <c r="F70" s="87"/>
      <c r="G70" s="87"/>
      <c r="H70" s="87"/>
      <c r="I70" s="87"/>
      <c r="J70" s="63"/>
    </row>
  </sheetData>
  <sheetProtection algorithmName="SHA-512" hashValue="pCigkeiJI5M6kHMVJWYNpMVW7HrVUPrqJ8YNz8Jw/1phHTchxkZMLwaXL/my2B0Nntf/EZHBgN9kQsKl4CcTsQ==" saltValue="rYCDOIo3K0Nxo8J7qmtjvA==" spinCount="100000" sheet="1" objects="1" scenarios="1"/>
  <mergeCells count="1">
    <mergeCell ref="B3:I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S37"/>
  <sheetViews>
    <sheetView showGridLines="0" showRowColHeaders="0" workbookViewId="0">
      <pane ySplit="3" topLeftCell="A4" activePane="bottomLeft" state="frozen"/>
      <selection pane="bottomLeft" activeCell="U11" sqref="U11"/>
    </sheetView>
  </sheetViews>
  <sheetFormatPr defaultRowHeight="14.25" x14ac:dyDescent="0.2"/>
  <cols>
    <col min="1" max="4" width="9.140625" style="2"/>
    <col min="5" max="5" width="29.140625" style="2" customWidth="1"/>
    <col min="6" max="6" width="10.28515625" style="2" bestFit="1" customWidth="1"/>
    <col min="7" max="7" width="3.7109375" style="32" customWidth="1"/>
    <col min="8" max="15" width="3.28515625" style="32" customWidth="1"/>
    <col min="16" max="16" width="4" style="2" customWidth="1"/>
    <col min="17" max="17" width="15.7109375" style="203" hidden="1" customWidth="1"/>
    <col min="18" max="18" width="4" style="2" hidden="1" customWidth="1"/>
    <col min="19" max="19" width="9.140625" style="203"/>
    <col min="20" max="16384" width="9.140625" style="2"/>
  </cols>
  <sheetData>
    <row r="1" spans="1:19" ht="18" x14ac:dyDescent="0.25">
      <c r="A1" s="100" t="str">
        <f>Database!B3</f>
        <v>CORTEC:</v>
      </c>
      <c r="B1" s="101"/>
      <c r="C1" s="101"/>
      <c r="D1" s="101"/>
      <c r="E1" s="101"/>
      <c r="F1" s="101"/>
      <c r="G1" s="102"/>
      <c r="H1" s="102"/>
      <c r="I1" s="102"/>
      <c r="J1" s="102"/>
      <c r="K1" s="102"/>
      <c r="L1" s="102"/>
      <c r="M1" s="102"/>
      <c r="N1" s="102"/>
      <c r="O1" s="102"/>
      <c r="P1" s="103"/>
      <c r="Q1" s="196" t="str">
        <f>HLOOKUP(Language!$C$3,Language!$E$1:$Z502,46,FALSE)</f>
        <v>Material Cost</v>
      </c>
      <c r="R1" s="197"/>
      <c r="S1" s="198"/>
    </row>
    <row r="2" spans="1:19" x14ac:dyDescent="0.2">
      <c r="A2" s="104"/>
      <c r="B2" s="42"/>
      <c r="C2" s="42"/>
      <c r="D2" s="42"/>
      <c r="E2" s="42"/>
      <c r="F2" s="61" t="s">
        <v>8</v>
      </c>
      <c r="G2" s="62">
        <v>6</v>
      </c>
      <c r="H2" s="62">
        <v>7</v>
      </c>
      <c r="I2" s="62">
        <v>8</v>
      </c>
      <c r="J2" s="62">
        <v>9</v>
      </c>
      <c r="K2" s="62">
        <v>10</v>
      </c>
      <c r="L2" s="62">
        <v>11</v>
      </c>
      <c r="M2" s="62">
        <v>12</v>
      </c>
      <c r="N2" s="62">
        <v>12</v>
      </c>
      <c r="O2" s="62">
        <v>13</v>
      </c>
      <c r="P2" s="56"/>
      <c r="Q2" s="199">
        <f>SUM(Q3:Q497)</f>
        <v>0</v>
      </c>
      <c r="R2" s="56"/>
      <c r="S2" s="200"/>
    </row>
    <row r="3" spans="1:19" s="41" customFormat="1" ht="18" x14ac:dyDescent="0.25">
      <c r="A3" s="105"/>
      <c r="B3" s="43"/>
      <c r="C3" s="43"/>
      <c r="D3" s="43"/>
      <c r="E3" s="44"/>
      <c r="F3" s="215" t="str">
        <f ca="1">Database!E2</f>
        <v>RA332</v>
      </c>
      <c r="G3" s="33">
        <f ca="1">G5</f>
        <v>3</v>
      </c>
      <c r="H3" s="33" t="str">
        <f ca="1">G7</f>
        <v>X</v>
      </c>
      <c r="I3" s="33">
        <f ca="1">G9</f>
        <v>2</v>
      </c>
      <c r="J3" s="33">
        <f ca="1">G11</f>
        <v>6</v>
      </c>
      <c r="K3" s="33">
        <f ca="1">G13</f>
        <v>2</v>
      </c>
      <c r="L3" s="33">
        <f ca="1">G15</f>
        <v>2</v>
      </c>
      <c r="M3" s="33">
        <f ca="1">G17</f>
        <v>2</v>
      </c>
      <c r="N3" s="33" t="str">
        <f ca="1">G19</f>
        <v>C</v>
      </c>
      <c r="O3" s="33" t="str">
        <f ca="1">G21</f>
        <v>C</v>
      </c>
      <c r="P3" s="106"/>
      <c r="Q3" s="199">
        <f>Database!D2</f>
        <v>0</v>
      </c>
      <c r="R3" s="106"/>
      <c r="S3" s="200"/>
    </row>
    <row r="4" spans="1:19" ht="18" customHeight="1" x14ac:dyDescent="0.25">
      <c r="A4" s="113" t="str">
        <f ca="1">Database!$B$4</f>
        <v>Power Supply</v>
      </c>
      <c r="B4" s="60"/>
      <c r="C4" s="48"/>
      <c r="D4" s="48"/>
      <c r="E4" s="48"/>
      <c r="F4" s="48"/>
      <c r="G4" s="204"/>
      <c r="H4" s="205"/>
      <c r="I4" s="206"/>
      <c r="J4" s="210"/>
      <c r="K4" s="205"/>
      <c r="L4" s="206"/>
      <c r="M4" s="210"/>
      <c r="N4" s="205"/>
      <c r="O4" s="206"/>
      <c r="P4" s="56"/>
      <c r="Q4" s="199"/>
      <c r="R4" s="56"/>
      <c r="S4" s="200"/>
    </row>
    <row r="5" spans="1:19" ht="24.75" customHeight="1" x14ac:dyDescent="0.2">
      <c r="A5" s="107"/>
      <c r="B5" s="48"/>
      <c r="C5" s="48"/>
      <c r="D5" s="108"/>
      <c r="E5" s="48"/>
      <c r="F5" s="48"/>
      <c r="G5" s="33">
        <f ca="1">Database!F4</f>
        <v>3</v>
      </c>
      <c r="H5" s="34"/>
      <c r="I5" s="35"/>
      <c r="J5" s="36"/>
      <c r="K5" s="34"/>
      <c r="L5" s="35"/>
      <c r="M5" s="36"/>
      <c r="N5" s="34"/>
      <c r="O5" s="35"/>
      <c r="P5" s="56"/>
      <c r="Q5" s="199"/>
      <c r="R5" s="56"/>
      <c r="S5" s="201" t="str">
        <f ca="1">IF(Database!H4="N",HLOOKUP(Language!$C$3,Language!$E$1:$Z502,47,FALSE),"")</f>
        <v/>
      </c>
    </row>
    <row r="6" spans="1:19" ht="18" customHeight="1" x14ac:dyDescent="0.2">
      <c r="A6" s="113" t="str">
        <f ca="1">Database!B9</f>
        <v>Analogue Inputs 1 to 4</v>
      </c>
      <c r="B6" s="48"/>
      <c r="C6" s="48"/>
      <c r="D6" s="48"/>
      <c r="E6" s="48"/>
      <c r="F6" s="48"/>
      <c r="G6" s="39"/>
      <c r="H6" s="34"/>
      <c r="I6" s="35"/>
      <c r="J6" s="36"/>
      <c r="K6" s="34"/>
      <c r="L6" s="35"/>
      <c r="M6" s="36"/>
      <c r="N6" s="34"/>
      <c r="O6" s="35"/>
      <c r="P6" s="56"/>
      <c r="Q6" s="199"/>
      <c r="R6" s="56"/>
      <c r="S6" s="200"/>
    </row>
    <row r="7" spans="1:19" ht="65.25" customHeight="1" x14ac:dyDescent="0.2">
      <c r="A7" s="107"/>
      <c r="B7" s="48"/>
      <c r="C7" s="48"/>
      <c r="D7" s="48"/>
      <c r="E7" s="48"/>
      <c r="F7" s="48"/>
      <c r="G7" s="33" t="str">
        <f ca="1">Database!F9</f>
        <v>X</v>
      </c>
      <c r="H7" s="46"/>
      <c r="I7" s="35"/>
      <c r="J7" s="36"/>
      <c r="K7" s="34"/>
      <c r="L7" s="35"/>
      <c r="M7" s="36"/>
      <c r="N7" s="34"/>
      <c r="O7" s="35"/>
      <c r="P7" s="56"/>
      <c r="Q7" s="199"/>
      <c r="R7" s="56"/>
      <c r="S7" s="201" t="str">
        <f ca="1">IF(Database!H9="N",HLOOKUP(Language!$C$3,Language!$E$1:$Z502,47,FALSE),"")</f>
        <v/>
      </c>
    </row>
    <row r="8" spans="1:19" ht="18" customHeight="1" x14ac:dyDescent="0.2">
      <c r="A8" s="113" t="str">
        <f ca="1">Database!B19</f>
        <v>Analogue Inputs 5 to 8</v>
      </c>
      <c r="B8" s="114"/>
      <c r="C8" s="48"/>
      <c r="D8" s="48"/>
      <c r="E8" s="48"/>
      <c r="F8" s="48"/>
      <c r="G8" s="207"/>
      <c r="H8" s="37"/>
      <c r="I8" s="35"/>
      <c r="J8" s="36"/>
      <c r="K8" s="34"/>
      <c r="L8" s="35"/>
      <c r="M8" s="36"/>
      <c r="N8" s="34"/>
      <c r="O8" s="35"/>
      <c r="P8" s="56"/>
      <c r="Q8" s="199"/>
      <c r="R8" s="56"/>
      <c r="S8" s="200"/>
    </row>
    <row r="9" spans="1:19" ht="62.25" customHeight="1" x14ac:dyDescent="0.2">
      <c r="A9" s="107"/>
      <c r="B9" s="48"/>
      <c r="C9" s="48"/>
      <c r="D9" s="48"/>
      <c r="E9" s="48"/>
      <c r="F9" s="48"/>
      <c r="G9" s="33">
        <f ca="1">Database!F19</f>
        <v>2</v>
      </c>
      <c r="H9" s="208"/>
      <c r="I9" s="209"/>
      <c r="J9" s="36"/>
      <c r="K9" s="34"/>
      <c r="L9" s="35"/>
      <c r="M9" s="36"/>
      <c r="N9" s="34"/>
      <c r="O9" s="35"/>
      <c r="P9" s="56"/>
      <c r="Q9" s="199"/>
      <c r="R9" s="56"/>
      <c r="S9" s="201" t="str">
        <f ca="1">IF(Database!H12="N",HLOOKUP(Language!$C$3,Language!$E$1:$Z502,47,FALSE),"")</f>
        <v/>
      </c>
    </row>
    <row r="10" spans="1:19" ht="18" customHeight="1" x14ac:dyDescent="0.2">
      <c r="A10" s="113" t="str">
        <f ca="1">Database!B29</f>
        <v>Analogue Inputs 9 to 12</v>
      </c>
      <c r="B10" s="48"/>
      <c r="C10" s="48"/>
      <c r="D10" s="48"/>
      <c r="E10" s="48"/>
      <c r="F10" s="48"/>
      <c r="G10" s="211"/>
      <c r="H10" s="110"/>
      <c r="I10" s="110"/>
      <c r="J10" s="36"/>
      <c r="K10" s="34"/>
      <c r="L10" s="35"/>
      <c r="M10" s="36"/>
      <c r="N10" s="34"/>
      <c r="O10" s="35"/>
      <c r="P10" s="56"/>
      <c r="Q10" s="199"/>
      <c r="R10" s="56"/>
      <c r="S10" s="200"/>
    </row>
    <row r="11" spans="1:19" ht="63.75" customHeight="1" x14ac:dyDescent="0.2">
      <c r="A11" s="107"/>
      <c r="B11" s="48"/>
      <c r="C11" s="48"/>
      <c r="D11" s="48"/>
      <c r="E11" s="48"/>
      <c r="F11" s="48"/>
      <c r="G11" s="33">
        <f ca="1">Database!F29</f>
        <v>6</v>
      </c>
      <c r="H11" s="212"/>
      <c r="I11" s="212"/>
      <c r="J11" s="213"/>
      <c r="K11" s="34"/>
      <c r="L11" s="35"/>
      <c r="M11" s="36"/>
      <c r="N11" s="34"/>
      <c r="O11" s="35"/>
      <c r="P11" s="56"/>
      <c r="Q11" s="199"/>
      <c r="R11" s="56"/>
      <c r="S11" s="201" t="str">
        <f ca="1">IF(Database!H23="N",HLOOKUP(Language!$C$3,Language!$E$1:$Z502,47,FALSE),"")</f>
        <v/>
      </c>
    </row>
    <row r="12" spans="1:19" ht="18" customHeight="1" x14ac:dyDescent="0.2">
      <c r="A12" s="113" t="str">
        <f ca="1">Database!B39</f>
        <v>Analogue Inputs 13 to 16</v>
      </c>
      <c r="B12" s="48"/>
      <c r="C12" s="48"/>
      <c r="D12" s="48"/>
      <c r="E12" s="48"/>
      <c r="F12" s="48"/>
      <c r="G12" s="39"/>
      <c r="H12" s="109"/>
      <c r="I12" s="109"/>
      <c r="J12" s="109"/>
      <c r="K12" s="34"/>
      <c r="L12" s="35"/>
      <c r="M12" s="36"/>
      <c r="N12" s="34"/>
      <c r="O12" s="35"/>
      <c r="P12" s="56"/>
      <c r="Q12" s="199"/>
      <c r="R12" s="56"/>
      <c r="S12" s="200"/>
    </row>
    <row r="13" spans="1:19" ht="63.75" customHeight="1" x14ac:dyDescent="0.2">
      <c r="A13" s="107"/>
      <c r="B13" s="48"/>
      <c r="C13" s="48"/>
      <c r="D13" s="48"/>
      <c r="E13" s="48"/>
      <c r="F13" s="48"/>
      <c r="G13" s="33">
        <f ca="1">Database!F39</f>
        <v>2</v>
      </c>
      <c r="H13" s="45"/>
      <c r="I13" s="45"/>
      <c r="J13" s="45"/>
      <c r="K13" s="46"/>
      <c r="L13" s="35"/>
      <c r="M13" s="36"/>
      <c r="N13" s="34"/>
      <c r="O13" s="35"/>
      <c r="P13" s="56"/>
      <c r="Q13" s="199"/>
      <c r="R13" s="56"/>
      <c r="S13" s="201" t="str">
        <f ca="1">IF(Database!H34="N",HLOOKUP(Language!$C$3,Language!$E$1:$Z502,47,FALSE),"")</f>
        <v/>
      </c>
    </row>
    <row r="14" spans="1:19" ht="18" customHeight="1" x14ac:dyDescent="0.25">
      <c r="A14" s="113" t="str">
        <f ca="1">Database!B49</f>
        <v>Digital Inputs 1 to 16</v>
      </c>
      <c r="B14" s="60"/>
      <c r="C14" s="115"/>
      <c r="D14" s="48"/>
      <c r="E14" s="48"/>
      <c r="F14" s="48"/>
      <c r="G14" s="207"/>
      <c r="H14" s="37"/>
      <c r="I14" s="37"/>
      <c r="J14" s="37"/>
      <c r="K14" s="37"/>
      <c r="L14" s="35"/>
      <c r="M14" s="36"/>
      <c r="N14" s="34"/>
      <c r="O14" s="35"/>
      <c r="P14" s="56"/>
      <c r="Q14" s="199"/>
      <c r="R14" s="56"/>
      <c r="S14" s="200"/>
    </row>
    <row r="15" spans="1:19" ht="45" customHeight="1" x14ac:dyDescent="0.2">
      <c r="A15" s="107"/>
      <c r="B15" s="48"/>
      <c r="C15" s="48"/>
      <c r="D15" s="48"/>
      <c r="E15" s="48"/>
      <c r="F15" s="48"/>
      <c r="G15" s="33">
        <f ca="1">Database!F49</f>
        <v>2</v>
      </c>
      <c r="H15" s="208"/>
      <c r="I15" s="208"/>
      <c r="J15" s="208"/>
      <c r="K15" s="208"/>
      <c r="L15" s="209"/>
      <c r="M15" s="36"/>
      <c r="N15" s="34"/>
      <c r="O15" s="35"/>
      <c r="P15" s="56"/>
      <c r="Q15" s="199"/>
      <c r="R15" s="56"/>
      <c r="S15" s="201" t="str">
        <f ca="1">IF(Database!H51="N",HLOOKUP(Language!$C$3,Language!$E$1:$Z502,47,FALSE),"")</f>
        <v/>
      </c>
    </row>
    <row r="16" spans="1:19" ht="17.25" customHeight="1" x14ac:dyDescent="0.2">
      <c r="A16" s="113" t="str">
        <f ca="1">Database!B55</f>
        <v>Digital Inputs 17 to 32</v>
      </c>
      <c r="B16" s="48"/>
      <c r="C16" s="48"/>
      <c r="D16" s="48"/>
      <c r="E16" s="48"/>
      <c r="F16" s="48"/>
      <c r="G16" s="211"/>
      <c r="H16" s="110"/>
      <c r="I16" s="110"/>
      <c r="J16" s="110"/>
      <c r="K16" s="110"/>
      <c r="L16" s="110"/>
      <c r="M16" s="36"/>
      <c r="N16" s="34"/>
      <c r="O16" s="35"/>
      <c r="P16" s="56"/>
      <c r="Q16" s="199"/>
      <c r="R16" s="56"/>
      <c r="S16" s="200"/>
    </row>
    <row r="17" spans="1:19" ht="51" customHeight="1" x14ac:dyDescent="0.2">
      <c r="A17" s="107"/>
      <c r="B17" s="48"/>
      <c r="C17" s="48"/>
      <c r="D17" s="48"/>
      <c r="E17" s="48"/>
      <c r="F17" s="48"/>
      <c r="G17" s="33">
        <f ca="1">Database!F55</f>
        <v>2</v>
      </c>
      <c r="H17" s="212"/>
      <c r="I17" s="212"/>
      <c r="J17" s="212"/>
      <c r="K17" s="212"/>
      <c r="L17" s="212"/>
      <c r="M17" s="213"/>
      <c r="N17" s="34"/>
      <c r="O17" s="35"/>
      <c r="P17" s="56"/>
      <c r="Q17" s="199"/>
      <c r="R17" s="56"/>
      <c r="S17" s="201" t="str">
        <f ca="1">IF(Database!H63="N",HLOOKUP(Language!$C$3,Language!$E$1:$Z502,47,FALSE),"")</f>
        <v/>
      </c>
    </row>
    <row r="18" spans="1:19" ht="17.25" customHeight="1" x14ac:dyDescent="0.2">
      <c r="A18" s="113" t="str">
        <f ca="1">Database!B61</f>
        <v>Customization / Regionalisation</v>
      </c>
      <c r="B18" s="48"/>
      <c r="C18" s="48"/>
      <c r="D18" s="48"/>
      <c r="E18" s="48"/>
      <c r="F18" s="48"/>
      <c r="G18" s="40"/>
      <c r="H18" s="38"/>
      <c r="I18" s="38"/>
      <c r="J18" s="38"/>
      <c r="K18" s="38"/>
      <c r="L18" s="38"/>
      <c r="M18" s="38"/>
      <c r="N18" s="34"/>
      <c r="O18" s="35"/>
      <c r="P18" s="56"/>
      <c r="Q18" s="199"/>
      <c r="R18" s="56"/>
      <c r="S18" s="200"/>
    </row>
    <row r="19" spans="1:19" ht="30" customHeight="1" x14ac:dyDescent="0.2">
      <c r="A19" s="107"/>
      <c r="B19" s="48"/>
      <c r="C19" s="48"/>
      <c r="D19" s="48"/>
      <c r="E19" s="48"/>
      <c r="F19" s="48"/>
      <c r="G19" s="33" t="str">
        <f ca="1">Database!F61</f>
        <v>C</v>
      </c>
      <c r="H19" s="45"/>
      <c r="I19" s="45"/>
      <c r="J19" s="45"/>
      <c r="K19" s="45"/>
      <c r="L19" s="45"/>
      <c r="M19" s="45"/>
      <c r="N19" s="46"/>
      <c r="O19" s="35"/>
      <c r="P19" s="56"/>
      <c r="Q19" s="199"/>
      <c r="R19" s="56"/>
      <c r="S19" s="201" t="str">
        <f ca="1">IF(Database!H65="N",HLOOKUP(Language!$C$3,Language!$E$1:$Z504,47,FALSE),"")</f>
        <v/>
      </c>
    </row>
    <row r="20" spans="1:19" ht="17.25" customHeight="1" x14ac:dyDescent="0.2">
      <c r="A20" s="113" t="str">
        <f ca="1">Database!B65</f>
        <v>Hardware Design Suffix</v>
      </c>
      <c r="B20" s="48"/>
      <c r="C20" s="48"/>
      <c r="D20" s="48"/>
      <c r="E20" s="48"/>
      <c r="F20" s="48"/>
      <c r="G20" s="207"/>
      <c r="H20" s="37"/>
      <c r="I20" s="37"/>
      <c r="J20" s="37"/>
      <c r="K20" s="37"/>
      <c r="L20" s="37"/>
      <c r="M20" s="37"/>
      <c r="N20" s="37"/>
      <c r="O20" s="35"/>
      <c r="P20" s="56"/>
      <c r="Q20" s="199"/>
      <c r="R20" s="56"/>
      <c r="S20" s="200"/>
    </row>
    <row r="21" spans="1:19" ht="30" customHeight="1" x14ac:dyDescent="0.2">
      <c r="A21" s="107"/>
      <c r="B21" s="48"/>
      <c r="C21" s="48"/>
      <c r="D21" s="48"/>
      <c r="E21" s="48"/>
      <c r="F21" s="48"/>
      <c r="G21" s="33" t="str">
        <f ca="1">Database!F65</f>
        <v>C</v>
      </c>
      <c r="H21" s="208"/>
      <c r="I21" s="208"/>
      <c r="J21" s="208"/>
      <c r="K21" s="208"/>
      <c r="L21" s="208"/>
      <c r="M21" s="208"/>
      <c r="N21" s="208"/>
      <c r="O21" s="209"/>
      <c r="P21" s="56"/>
      <c r="Q21" s="199"/>
      <c r="R21" s="56"/>
      <c r="S21" s="201" t="str">
        <f>IF(Database!H67="N",HLOOKUP(Language!$C$3,Language!$E$1:$Z506,47,FALSE),"")</f>
        <v/>
      </c>
    </row>
    <row r="22" spans="1:19" ht="17.25" customHeight="1" thickBot="1" x14ac:dyDescent="0.25">
      <c r="A22" s="111"/>
      <c r="B22" s="57"/>
      <c r="C22" s="57"/>
      <c r="D22" s="57"/>
      <c r="E22" s="57"/>
      <c r="F22" s="57"/>
      <c r="G22" s="112"/>
      <c r="H22" s="112"/>
      <c r="I22" s="112"/>
      <c r="J22" s="112"/>
      <c r="K22" s="112"/>
      <c r="L22" s="112"/>
      <c r="M22" s="112"/>
      <c r="N22" s="112"/>
      <c r="O22" s="112"/>
      <c r="P22" s="58"/>
      <c r="Q22" s="202"/>
      <c r="R22" s="58"/>
      <c r="S22" s="200"/>
    </row>
    <row r="23" spans="1:19" ht="20.25" x14ac:dyDescent="0.2">
      <c r="Q23" s="200"/>
      <c r="S23" s="201" t="str">
        <f>IF(Database!H67="N",HLOOKUP(Language!$C$3,Language!$E$1:$Z502,50,FALSE),"")</f>
        <v/>
      </c>
    </row>
    <row r="24" spans="1:19" x14ac:dyDescent="0.2">
      <c r="Q24" s="200"/>
      <c r="S24" s="200"/>
    </row>
    <row r="25" spans="1:19" ht="20.25" x14ac:dyDescent="0.2">
      <c r="Q25" s="200"/>
      <c r="S25" s="201"/>
    </row>
    <row r="26" spans="1:19" x14ac:dyDescent="0.2">
      <c r="Q26" s="200"/>
      <c r="S26" s="200"/>
    </row>
    <row r="27" spans="1:19" ht="20.25" x14ac:dyDescent="0.2">
      <c r="Q27" s="200"/>
      <c r="S27" s="201" t="str">
        <f>IF(Database!E78="N",HLOOKUP(Language!$C$3,Language!$E$1:$Z502,50,FALSE),"")</f>
        <v/>
      </c>
    </row>
    <row r="28" spans="1:19" x14ac:dyDescent="0.2">
      <c r="Q28" s="200"/>
      <c r="S28" s="200"/>
    </row>
    <row r="29" spans="1:19" x14ac:dyDescent="0.2">
      <c r="Q29" s="200"/>
      <c r="S29" s="200"/>
    </row>
    <row r="30" spans="1:19" x14ac:dyDescent="0.2">
      <c r="Q30" s="200"/>
      <c r="S30" s="200"/>
    </row>
    <row r="31" spans="1:19" x14ac:dyDescent="0.2">
      <c r="S31" s="200"/>
    </row>
    <row r="32" spans="1:19" x14ac:dyDescent="0.2">
      <c r="S32" s="200"/>
    </row>
    <row r="33" spans="19:19" x14ac:dyDescent="0.2">
      <c r="S33" s="200"/>
    </row>
    <row r="34" spans="19:19" x14ac:dyDescent="0.2">
      <c r="S34" s="200"/>
    </row>
    <row r="35" spans="19:19" x14ac:dyDescent="0.2">
      <c r="S35" s="200"/>
    </row>
    <row r="36" spans="19:19" x14ac:dyDescent="0.2">
      <c r="S36" s="200"/>
    </row>
    <row r="37" spans="19:19" x14ac:dyDescent="0.2">
      <c r="S37" s="200"/>
    </row>
  </sheetData>
  <sheetProtection algorithmName="SHA-512" hashValue="hMN6skEDilwb7CLBiBFAQaCqbW8d5FoTvZ/L707qW07cfZPpnReBcl4U3XumzawKy7gtucIBvkqS67Ulvjxbiw==" saltValue="/3rmAkMwBFNjI50qY+RNBQ==" spinCount="100000" sheet="1" objects="1" scenarios="1"/>
  <phoneticPr fontId="19" type="noConversion"/>
  <pageMargins left="0.7" right="0.7" top="0.75" bottom="0.75" header="0.3" footer="0.3"/>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8194" r:id="rId4" name="List Box 2">
              <controlPr defaultSize="0" autoLine="0" autoPict="0">
                <anchor moveWithCells="1">
                  <from>
                    <xdr:col>0</xdr:col>
                    <xdr:colOff>0</xdr:colOff>
                    <xdr:row>4</xdr:row>
                    <xdr:rowOff>0</xdr:rowOff>
                  </from>
                  <to>
                    <xdr:col>6</xdr:col>
                    <xdr:colOff>0</xdr:colOff>
                    <xdr:row>5</xdr:row>
                    <xdr:rowOff>0</xdr:rowOff>
                  </to>
                </anchor>
              </controlPr>
            </control>
          </mc:Choice>
        </mc:AlternateContent>
        <mc:AlternateContent xmlns:mc="http://schemas.openxmlformats.org/markup-compatibility/2006">
          <mc:Choice Requires="x14">
            <control shapeId="8197" r:id="rId5" name="List Box 5">
              <controlPr defaultSize="0" autoLine="0" autoPict="0">
                <anchor moveWithCells="1">
                  <from>
                    <xdr:col>0</xdr:col>
                    <xdr:colOff>0</xdr:colOff>
                    <xdr:row>6</xdr:row>
                    <xdr:rowOff>0</xdr:rowOff>
                  </from>
                  <to>
                    <xdr:col>6</xdr:col>
                    <xdr:colOff>9525</xdr:colOff>
                    <xdr:row>7</xdr:row>
                    <xdr:rowOff>0</xdr:rowOff>
                  </to>
                </anchor>
              </controlPr>
            </control>
          </mc:Choice>
        </mc:AlternateContent>
        <mc:AlternateContent xmlns:mc="http://schemas.openxmlformats.org/markup-compatibility/2006">
          <mc:Choice Requires="x14">
            <control shapeId="8199" r:id="rId6" name="List Box 7">
              <controlPr defaultSize="0" autoLine="0" autoPict="0">
                <anchor moveWithCells="1">
                  <from>
                    <xdr:col>0</xdr:col>
                    <xdr:colOff>0</xdr:colOff>
                    <xdr:row>8</xdr:row>
                    <xdr:rowOff>0</xdr:rowOff>
                  </from>
                  <to>
                    <xdr:col>6</xdr:col>
                    <xdr:colOff>0</xdr:colOff>
                    <xdr:row>9</xdr:row>
                    <xdr:rowOff>0</xdr:rowOff>
                  </to>
                </anchor>
              </controlPr>
            </control>
          </mc:Choice>
        </mc:AlternateContent>
        <mc:AlternateContent xmlns:mc="http://schemas.openxmlformats.org/markup-compatibility/2006">
          <mc:Choice Requires="x14">
            <control shapeId="8201" r:id="rId7" name="List Box 9">
              <controlPr defaultSize="0" autoLine="0" autoPict="0">
                <anchor moveWithCells="1">
                  <from>
                    <xdr:col>0</xdr:col>
                    <xdr:colOff>0</xdr:colOff>
                    <xdr:row>10</xdr:row>
                    <xdr:rowOff>0</xdr:rowOff>
                  </from>
                  <to>
                    <xdr:col>6</xdr:col>
                    <xdr:colOff>0</xdr:colOff>
                    <xdr:row>11</xdr:row>
                    <xdr:rowOff>0</xdr:rowOff>
                  </to>
                </anchor>
              </controlPr>
            </control>
          </mc:Choice>
        </mc:AlternateContent>
        <mc:AlternateContent xmlns:mc="http://schemas.openxmlformats.org/markup-compatibility/2006">
          <mc:Choice Requires="x14">
            <control shapeId="8203" r:id="rId8" name="List Box 11">
              <controlPr defaultSize="0" autoLine="0" autoPict="0">
                <anchor moveWithCells="1">
                  <from>
                    <xdr:col>0</xdr:col>
                    <xdr:colOff>0</xdr:colOff>
                    <xdr:row>12</xdr:row>
                    <xdr:rowOff>0</xdr:rowOff>
                  </from>
                  <to>
                    <xdr:col>6</xdr:col>
                    <xdr:colOff>0</xdr:colOff>
                    <xdr:row>13</xdr:row>
                    <xdr:rowOff>0</xdr:rowOff>
                  </to>
                </anchor>
              </controlPr>
            </control>
          </mc:Choice>
        </mc:AlternateContent>
        <mc:AlternateContent xmlns:mc="http://schemas.openxmlformats.org/markup-compatibility/2006">
          <mc:Choice Requires="x14">
            <control shapeId="8232" r:id="rId9" name="List Box 40">
              <controlPr defaultSize="0" autoLine="0" autoPict="0">
                <anchor moveWithCells="1">
                  <from>
                    <xdr:col>0</xdr:col>
                    <xdr:colOff>0</xdr:colOff>
                    <xdr:row>14</xdr:row>
                    <xdr:rowOff>0</xdr:rowOff>
                  </from>
                  <to>
                    <xdr:col>6</xdr:col>
                    <xdr:colOff>0</xdr:colOff>
                    <xdr:row>15</xdr:row>
                    <xdr:rowOff>0</xdr:rowOff>
                  </to>
                </anchor>
              </controlPr>
            </control>
          </mc:Choice>
        </mc:AlternateContent>
        <mc:AlternateContent xmlns:mc="http://schemas.openxmlformats.org/markup-compatibility/2006">
          <mc:Choice Requires="x14">
            <control shapeId="8233" r:id="rId10" name="List Box 41">
              <controlPr defaultSize="0" autoLine="0" autoPict="0">
                <anchor moveWithCells="1">
                  <from>
                    <xdr:col>0</xdr:col>
                    <xdr:colOff>0</xdr:colOff>
                    <xdr:row>16</xdr:row>
                    <xdr:rowOff>0</xdr:rowOff>
                  </from>
                  <to>
                    <xdr:col>6</xdr:col>
                    <xdr:colOff>0</xdr:colOff>
                    <xdr:row>17</xdr:row>
                    <xdr:rowOff>0</xdr:rowOff>
                  </to>
                </anchor>
              </controlPr>
            </control>
          </mc:Choice>
        </mc:AlternateContent>
        <mc:AlternateContent xmlns:mc="http://schemas.openxmlformats.org/markup-compatibility/2006">
          <mc:Choice Requires="x14">
            <control shapeId="8234" r:id="rId11" name="List Box 42">
              <controlPr defaultSize="0" autoLine="0" autoPict="0">
                <anchor moveWithCells="1">
                  <from>
                    <xdr:col>0</xdr:col>
                    <xdr:colOff>0</xdr:colOff>
                    <xdr:row>18</xdr:row>
                    <xdr:rowOff>0</xdr:rowOff>
                  </from>
                  <to>
                    <xdr:col>6</xdr:col>
                    <xdr:colOff>0</xdr:colOff>
                    <xdr:row>19</xdr:row>
                    <xdr:rowOff>0</xdr:rowOff>
                  </to>
                </anchor>
              </controlPr>
            </control>
          </mc:Choice>
        </mc:AlternateContent>
        <mc:AlternateContent xmlns:mc="http://schemas.openxmlformats.org/markup-compatibility/2006">
          <mc:Choice Requires="x14">
            <control shapeId="8235" r:id="rId12" name="List Box 43">
              <controlPr defaultSize="0" autoLine="0" autoPict="0">
                <anchor moveWithCells="1">
                  <from>
                    <xdr:col>0</xdr:col>
                    <xdr:colOff>0</xdr:colOff>
                    <xdr:row>20</xdr:row>
                    <xdr:rowOff>0</xdr:rowOff>
                  </from>
                  <to>
                    <xdr:col>6</xdr:col>
                    <xdr:colOff>9525</xdr:colOff>
                    <xdr:row>21</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I32"/>
  <sheetViews>
    <sheetView showGridLines="0" showRowColHeaders="0" workbookViewId="0">
      <pane ySplit="1" topLeftCell="A11" activePane="bottomLeft" state="frozen"/>
      <selection pane="bottomLeft" activeCell="H32" sqref="H32"/>
    </sheetView>
  </sheetViews>
  <sheetFormatPr defaultRowHeight="14.25" x14ac:dyDescent="0.2"/>
  <cols>
    <col min="1" max="1" width="13.85546875" style="2" customWidth="1"/>
    <col min="2" max="4" width="9.140625" style="2"/>
    <col min="5" max="5" width="11.5703125" style="2" customWidth="1"/>
    <col min="6" max="7" width="9.140625" style="2"/>
    <col min="8" max="8" width="10.140625" style="2" bestFit="1" customWidth="1"/>
    <col min="9" max="16384" width="9.140625" style="2"/>
  </cols>
  <sheetData>
    <row r="1" spans="1:9" ht="15.75" x14ac:dyDescent="0.25">
      <c r="A1" s="50" t="str">
        <f ca="1">Database!$E$3</f>
        <v>RA3323X26222CC</v>
      </c>
      <c r="B1" s="51"/>
      <c r="C1" s="51"/>
      <c r="D1" s="51"/>
      <c r="E1" s="42"/>
      <c r="F1" s="42"/>
      <c r="G1" s="42"/>
      <c r="H1" s="42"/>
      <c r="I1" s="55"/>
    </row>
    <row r="2" spans="1:9" ht="15" x14ac:dyDescent="0.25">
      <c r="A2" s="47" t="str">
        <f>Database!$B$3</f>
        <v>CORTEC:</v>
      </c>
      <c r="B2" s="48"/>
      <c r="C2" s="48"/>
      <c r="D2" s="48"/>
      <c r="E2" s="48"/>
      <c r="F2" s="48"/>
      <c r="G2" s="48"/>
      <c r="H2" s="48"/>
      <c r="I2" s="56"/>
    </row>
    <row r="3" spans="1:9" ht="15" x14ac:dyDescent="0.25">
      <c r="A3" s="47" t="str">
        <f ca="1">Database!$B$4</f>
        <v>Power Supply</v>
      </c>
      <c r="B3" s="48"/>
      <c r="C3" s="48"/>
      <c r="D3" s="48"/>
      <c r="E3" s="48"/>
      <c r="F3" s="48"/>
      <c r="G3" s="48"/>
      <c r="H3" s="48"/>
      <c r="I3" s="56"/>
    </row>
    <row r="4" spans="1:9" x14ac:dyDescent="0.2">
      <c r="A4" s="116" t="str">
        <f ca="1">Database!$E$4</f>
        <v>100-250 Vdc / 110-240 Vac</v>
      </c>
      <c r="B4" s="48"/>
      <c r="C4" s="48"/>
      <c r="D4" s="48"/>
      <c r="E4" s="48"/>
      <c r="F4" s="48"/>
      <c r="G4" s="48"/>
      <c r="H4" s="48"/>
      <c r="I4" s="56"/>
    </row>
    <row r="5" spans="1:9" ht="15" x14ac:dyDescent="0.25">
      <c r="A5" s="47" t="str">
        <f ca="1">Database!$B$9</f>
        <v>Analogue Inputs 1 to 4</v>
      </c>
      <c r="B5" s="48"/>
      <c r="C5" s="48"/>
      <c r="D5" s="48"/>
      <c r="E5" s="48"/>
      <c r="F5" s="48"/>
      <c r="G5" s="48"/>
      <c r="H5" s="48"/>
      <c r="I5" s="56"/>
    </row>
    <row r="6" spans="1:9" x14ac:dyDescent="0.2">
      <c r="A6" s="49" t="str">
        <f ca="1">Database!$E$9</f>
        <v>Not installed</v>
      </c>
      <c r="B6" s="48"/>
      <c r="C6" s="48"/>
      <c r="D6" s="48"/>
      <c r="E6" s="48"/>
      <c r="F6" s="48"/>
      <c r="G6" s="48"/>
      <c r="H6" s="48"/>
      <c r="I6" s="56"/>
    </row>
    <row r="7" spans="1:9" ht="15" x14ac:dyDescent="0.25">
      <c r="A7" s="117" t="str">
        <f ca="1">Database!$B$19</f>
        <v>Analogue Inputs 5 to 8</v>
      </c>
      <c r="B7" s="48"/>
      <c r="C7" s="48"/>
      <c r="D7" s="48"/>
      <c r="E7" s="48"/>
      <c r="F7" s="48"/>
      <c r="G7" s="48"/>
      <c r="H7" s="48"/>
      <c r="I7" s="56"/>
    </row>
    <row r="8" spans="1:9" x14ac:dyDescent="0.2">
      <c r="A8" s="49" t="str">
        <f ca="1">Database!$E$19</f>
        <v>Voltage inputs 115 V / Current inputs 1 A; full-scale 40 A (Ith = 100 A)</v>
      </c>
      <c r="B8" s="48"/>
      <c r="C8" s="48"/>
      <c r="D8" s="48"/>
      <c r="E8" s="48"/>
      <c r="F8" s="48"/>
      <c r="G8" s="48"/>
      <c r="H8" s="48"/>
      <c r="I8" s="56"/>
    </row>
    <row r="9" spans="1:9" ht="15" x14ac:dyDescent="0.25">
      <c r="A9" s="47" t="str">
        <f ca="1">Database!$B$29</f>
        <v>Analogue Inputs 9 to 12</v>
      </c>
      <c r="B9" s="48"/>
      <c r="C9" s="48"/>
      <c r="D9" s="48"/>
      <c r="E9" s="48"/>
      <c r="F9" s="48"/>
      <c r="G9" s="48"/>
      <c r="H9" s="48"/>
      <c r="I9" s="56"/>
    </row>
    <row r="10" spans="1:9" x14ac:dyDescent="0.2">
      <c r="A10" s="49" t="str">
        <f ca="1">Database!$E$29</f>
        <v>Voltage inputs 115 V / Current inputs 5 A; full-scale 200 A (Ith = 200 A)</v>
      </c>
      <c r="B10" s="48"/>
      <c r="C10" s="48"/>
      <c r="D10" s="48"/>
      <c r="E10" s="48"/>
      <c r="F10" s="48"/>
      <c r="G10" s="48"/>
      <c r="H10" s="48"/>
      <c r="I10" s="56"/>
    </row>
    <row r="11" spans="1:9" ht="15" x14ac:dyDescent="0.25">
      <c r="A11" s="117" t="str">
        <f ca="1">Database!$B$39</f>
        <v>Analogue Inputs 13 to 16</v>
      </c>
      <c r="B11" s="48"/>
      <c r="C11" s="48"/>
      <c r="D11" s="48"/>
      <c r="E11" s="48"/>
      <c r="F11" s="48"/>
      <c r="G11" s="48"/>
      <c r="H11" s="48"/>
      <c r="I11" s="56"/>
    </row>
    <row r="12" spans="1:9" x14ac:dyDescent="0.2">
      <c r="A12" s="116" t="str">
        <f ca="1">Database!$E$39</f>
        <v>Voltage inputs 115 V / Current inputs 1 A; full-scale 40 A (Ith = 100 A)</v>
      </c>
      <c r="B12" s="48"/>
      <c r="C12" s="48"/>
      <c r="D12" s="48"/>
      <c r="E12" s="48"/>
      <c r="F12" s="48"/>
      <c r="G12" s="48"/>
      <c r="H12" s="48"/>
      <c r="I12" s="56"/>
    </row>
    <row r="13" spans="1:9" ht="15" x14ac:dyDescent="0.25">
      <c r="A13" s="117" t="str">
        <f ca="1">Database!$B$49</f>
        <v>Digital Inputs 1 to 16</v>
      </c>
      <c r="B13" s="48"/>
      <c r="C13" s="48"/>
      <c r="D13" s="48"/>
      <c r="E13" s="48"/>
      <c r="F13" s="48"/>
      <c r="G13" s="48"/>
      <c r="H13" s="48"/>
      <c r="I13" s="56"/>
    </row>
    <row r="14" spans="1:9" x14ac:dyDescent="0.2">
      <c r="A14" s="116" t="str">
        <f ca="1">Database!$E$49</f>
        <v>125 V</v>
      </c>
      <c r="B14" s="48"/>
      <c r="C14" s="48"/>
      <c r="D14" s="48"/>
      <c r="E14" s="48"/>
      <c r="F14" s="48"/>
      <c r="G14" s="48"/>
      <c r="H14" s="48"/>
      <c r="I14" s="56"/>
    </row>
    <row r="15" spans="1:9" ht="15" x14ac:dyDescent="0.25">
      <c r="A15" s="117" t="str">
        <f ca="1">Database!$B$55</f>
        <v>Digital Inputs 17 to 32</v>
      </c>
      <c r="B15" s="48"/>
      <c r="C15" s="48"/>
      <c r="D15" s="48"/>
      <c r="E15" s="48"/>
      <c r="F15" s="48"/>
      <c r="G15" s="48"/>
      <c r="H15" s="48"/>
      <c r="I15" s="56"/>
    </row>
    <row r="16" spans="1:9" x14ac:dyDescent="0.2">
      <c r="A16" s="116" t="str">
        <f ca="1">Database!$E$55</f>
        <v>125 V</v>
      </c>
      <c r="B16" s="48"/>
      <c r="C16" s="48"/>
      <c r="D16" s="48"/>
      <c r="E16" s="48"/>
      <c r="F16" s="48"/>
      <c r="G16" s="48"/>
      <c r="H16" s="48"/>
      <c r="I16" s="56"/>
    </row>
    <row r="17" spans="1:9" ht="15" x14ac:dyDescent="0.25">
      <c r="A17" s="117" t="str">
        <f ca="1">Database!$B$61</f>
        <v>Customization / Regionalisation</v>
      </c>
      <c r="B17" s="48"/>
      <c r="C17" s="48"/>
      <c r="D17" s="48"/>
      <c r="E17" s="48"/>
      <c r="F17" s="48"/>
      <c r="G17" s="48"/>
      <c r="H17" s="48"/>
      <c r="I17" s="56"/>
    </row>
    <row r="18" spans="1:9" x14ac:dyDescent="0.2">
      <c r="A18" s="49" t="str">
        <f ca="1">Database!$E$61</f>
        <v>GE branding</v>
      </c>
      <c r="B18" s="48"/>
      <c r="C18" s="48"/>
      <c r="D18" s="48"/>
      <c r="E18" s="48"/>
      <c r="F18" s="48"/>
      <c r="G18" s="48"/>
      <c r="H18" s="48"/>
      <c r="I18" s="56"/>
    </row>
    <row r="19" spans="1:9" ht="15" x14ac:dyDescent="0.25">
      <c r="A19" s="47" t="str">
        <f ca="1">Database!$B$65</f>
        <v>Hardware Design Suffix</v>
      </c>
      <c r="B19" s="48"/>
      <c r="C19" s="48"/>
      <c r="D19" s="48"/>
      <c r="E19" s="48"/>
      <c r="F19" s="48"/>
      <c r="G19" s="48"/>
      <c r="H19" s="48"/>
      <c r="I19" s="56"/>
    </row>
    <row r="20" spans="1:9" x14ac:dyDescent="0.2">
      <c r="A20" s="49" t="str">
        <f ca="1">Database!$F$65</f>
        <v>C</v>
      </c>
      <c r="B20" s="48"/>
      <c r="C20" s="48"/>
      <c r="D20" s="48"/>
      <c r="E20" s="48"/>
      <c r="F20" s="48"/>
      <c r="G20" s="48"/>
      <c r="H20" s="48"/>
      <c r="I20" s="56"/>
    </row>
    <row r="21" spans="1:9" ht="15" thickBot="1" x14ac:dyDescent="0.25">
      <c r="A21" s="57"/>
      <c r="B21" s="57"/>
      <c r="C21" s="57"/>
      <c r="D21" s="57"/>
      <c r="E21" s="57"/>
      <c r="F21" s="57"/>
      <c r="G21" s="57"/>
      <c r="H21" s="57"/>
      <c r="I21" s="58"/>
    </row>
    <row r="22" spans="1:9" x14ac:dyDescent="0.2">
      <c r="A22" s="48"/>
      <c r="B22" s="48"/>
      <c r="C22" s="48"/>
      <c r="D22" s="48"/>
      <c r="E22" s="48"/>
      <c r="F22" s="48"/>
      <c r="G22" s="48"/>
      <c r="H22" s="48"/>
      <c r="I22" s="56"/>
    </row>
    <row r="23" spans="1:9" x14ac:dyDescent="0.2">
      <c r="A23" s="52" t="str">
        <f>HLOOKUP(Language!$C$3,Language!$E$1:$Z578,29,FALSE)</f>
        <v>Issue:</v>
      </c>
      <c r="B23" s="53"/>
      <c r="C23" s="53"/>
      <c r="D23" s="48"/>
      <c r="E23" s="48"/>
      <c r="F23" s="48"/>
      <c r="G23" s="48"/>
      <c r="H23" s="48"/>
      <c r="I23" s="56"/>
    </row>
    <row r="24" spans="1:9" x14ac:dyDescent="0.2">
      <c r="A24" s="54"/>
      <c r="B24" s="190" t="s">
        <v>0</v>
      </c>
      <c r="C24" s="268" t="str">
        <f>HLOOKUP(Language!$C$3,Language!$E$1:$Z578,30,FALSE)</f>
        <v>Original Created</v>
      </c>
      <c r="D24" s="269"/>
      <c r="E24" s="269"/>
      <c r="F24" s="269"/>
      <c r="G24" s="269"/>
      <c r="H24" s="191">
        <f>'Date Drivers'!C2</f>
        <v>41709</v>
      </c>
      <c r="I24" s="59"/>
    </row>
    <row r="25" spans="1:9" ht="28.5" customHeight="1" x14ac:dyDescent="0.2">
      <c r="A25" s="48"/>
      <c r="B25" s="190" t="s">
        <v>1</v>
      </c>
      <c r="C25" s="266" t="str">
        <f>HLOOKUP(Language!$C$3,Language!$E$1:$Z578,45,FALSE)</f>
        <v>Added 24-48 Vdc power supply option, changed analog boards description</v>
      </c>
      <c r="D25" s="267"/>
      <c r="E25" s="267"/>
      <c r="F25" s="267"/>
      <c r="G25" s="267"/>
      <c r="H25" s="191">
        <f>'Date Drivers'!H1</f>
        <v>44224</v>
      </c>
      <c r="I25" s="59"/>
    </row>
    <row r="26" spans="1:9" ht="28.5" customHeight="1" x14ac:dyDescent="0.2">
      <c r="A26" s="48"/>
      <c r="B26" s="190" t="s">
        <v>2</v>
      </c>
      <c r="C26" s="266" t="str">
        <f>HLOOKUP(Language!$C$3,Language!$E$1:$Z578,48,FALSE)</f>
        <v>Corrected power supply range for option 3</v>
      </c>
      <c r="D26" s="267"/>
      <c r="E26" s="267"/>
      <c r="F26" s="267"/>
      <c r="G26" s="267"/>
      <c r="H26" s="191">
        <v>42237</v>
      </c>
      <c r="I26" s="59"/>
    </row>
    <row r="27" spans="1:9" ht="28.5" customHeight="1" x14ac:dyDescent="0.2">
      <c r="A27" s="48"/>
      <c r="B27" s="190" t="s">
        <v>23</v>
      </c>
      <c r="C27" s="266" t="str">
        <f>HLOOKUP(Language!$C$3,Language!$E$1:$Z579,50,FALSE)</f>
        <v>Changed branding to GE</v>
      </c>
      <c r="D27" s="267"/>
      <c r="E27" s="267"/>
      <c r="F27" s="267"/>
      <c r="G27" s="267"/>
      <c r="H27" s="191">
        <f>'Date Drivers'!M2</f>
        <v>42494</v>
      </c>
      <c r="I27" s="59"/>
    </row>
    <row r="28" spans="1:9" ht="28.5" customHeight="1" x14ac:dyDescent="0.2">
      <c r="A28" s="48"/>
      <c r="B28" s="190" t="s">
        <v>140</v>
      </c>
      <c r="C28" s="266" t="str">
        <f>HLOOKUP(Language!$C$3,Language!$E$1:$Z580,51,FALSE)</f>
        <v xml:space="preserve">Added option of analog input boards with 40xIn measurement range </v>
      </c>
      <c r="D28" s="267"/>
      <c r="E28" s="267"/>
      <c r="F28" s="267"/>
      <c r="G28" s="267"/>
      <c r="H28" s="191">
        <f>'Date Drivers'!R2</f>
        <v>43161</v>
      </c>
      <c r="I28" s="59"/>
    </row>
    <row r="29" spans="1:9" ht="105" customHeight="1" x14ac:dyDescent="0.2">
      <c r="A29" s="48"/>
      <c r="B29" s="190" t="s">
        <v>148</v>
      </c>
      <c r="C29" s="266" t="str">
        <f>HLOOKUP(Language!$C$3,Language!$E$1:$Z581,54,FALSE)</f>
        <v>Analog Inputs Option 1 – Voltage inputs 115V/Current Inputs 1 A; full-scale 20 A discontinued and replaced by Analog Inputs Option 2 – Voltage inputs 115V/Current Inputs 1 A; full-scale 40 A. And Analog Inputs Option T – Voltage inputs 115V/Current Inputs 5 A; full-scale 14 A discontinued and replaced by Analog Inputs Option 6 – Voltage inputs 115V/Current Inputs 5 A; full-scale 200 A.</v>
      </c>
      <c r="D29" s="267"/>
      <c r="E29" s="267"/>
      <c r="F29" s="267"/>
      <c r="G29" s="267"/>
      <c r="H29" s="191">
        <f>'Date Drivers'!W2</f>
        <v>43395</v>
      </c>
      <c r="I29" s="59"/>
    </row>
    <row r="30" spans="1:9" ht="50.1" customHeight="1" x14ac:dyDescent="0.2">
      <c r="A30" s="48"/>
      <c r="B30" s="190" t="s">
        <v>177</v>
      </c>
      <c r="C30" s="266" t="str">
        <f>HLOOKUP(Language!$C$3,Language!$E$1:$Z581,55,FALSE)</f>
        <v>Analog Inputs Option 5 – Voltage inputs 115 V / Current inputs 5 A; full-scale 100 A withdrawn as per GE Publication GER-4844 and GER-4861</v>
      </c>
      <c r="D30" s="267"/>
      <c r="E30" s="267"/>
      <c r="F30" s="267"/>
      <c r="G30" s="267"/>
      <c r="H30" s="191">
        <f>'Date Drivers'!AB2</f>
        <v>43662</v>
      </c>
      <c r="I30" s="59"/>
    </row>
    <row r="31" spans="1:9" ht="50.1" customHeight="1" x14ac:dyDescent="0.2">
      <c r="A31" s="48"/>
      <c r="B31" s="190" t="s">
        <v>187</v>
      </c>
      <c r="C31" s="266" t="str">
        <f>HLOOKUP(Language!$C$3,Language!$E$1:$Z582,56,FALSE)</f>
        <v>Withdraw Low Voltage Power Supply by CID006764 - 12/15/2021, plese refer to End-of-manufacturing notice GER-4900</v>
      </c>
      <c r="D31" s="267"/>
      <c r="E31" s="267"/>
      <c r="F31" s="267"/>
      <c r="G31" s="267"/>
      <c r="H31" s="191">
        <f>'Date Drivers'!AG2</f>
        <v>44224</v>
      </c>
      <c r="I31" s="59"/>
    </row>
    <row r="32" spans="1:9" ht="15" thickBot="1" x14ac:dyDescent="0.25">
      <c r="A32" s="57"/>
      <c r="B32" s="57"/>
      <c r="C32" s="57"/>
      <c r="D32" s="57"/>
      <c r="E32" s="57"/>
      <c r="F32" s="57"/>
      <c r="G32" s="57"/>
      <c r="H32" s="57"/>
      <c r="I32" s="58"/>
    </row>
  </sheetData>
  <sheetProtection algorithmName="SHA-512" hashValue="D77/CtalB1LWilphzlBojBGrJ2ZoLrnnYSC9C9qKgur2AcG0Whvj7VpE5/m21bNNp1HrN6NT2VVNa6fFPd6Ppw==" saltValue="qdAazk5BDmAtCABO955slg==" spinCount="100000" sheet="1" objects="1" scenarios="1"/>
  <mergeCells count="8">
    <mergeCell ref="C31:G31"/>
    <mergeCell ref="C30:G30"/>
    <mergeCell ref="C29:G29"/>
    <mergeCell ref="C24:G24"/>
    <mergeCell ref="C27:G27"/>
    <mergeCell ref="C25:G25"/>
    <mergeCell ref="C26:G26"/>
    <mergeCell ref="C28:G28"/>
  </mergeCells>
  <phoneticPr fontId="19"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57B79-7999-4C49-B848-8B955675F6B5}">
  <dimension ref="A1:C11"/>
  <sheetViews>
    <sheetView showGridLines="0" showRowColHeaders="0" workbookViewId="0">
      <selection activeCell="B6" sqref="B6"/>
    </sheetView>
  </sheetViews>
  <sheetFormatPr defaultRowHeight="15" x14ac:dyDescent="0.25"/>
  <cols>
    <col min="1" max="1" width="18.42578125" customWidth="1"/>
    <col min="2" max="2" width="74.42578125" bestFit="1" customWidth="1"/>
    <col min="3" max="3" width="20.42578125" customWidth="1"/>
  </cols>
  <sheetData>
    <row r="1" spans="1:3" x14ac:dyDescent="0.25">
      <c r="A1" s="247" t="s">
        <v>155</v>
      </c>
      <c r="B1" s="246"/>
      <c r="C1" s="246"/>
    </row>
    <row r="2" spans="1:3" x14ac:dyDescent="0.25">
      <c r="A2" s="270" t="s">
        <v>156</v>
      </c>
      <c r="B2" s="270"/>
      <c r="C2" s="270"/>
    </row>
    <row r="3" spans="1:3" ht="30" x14ac:dyDescent="0.25">
      <c r="A3" s="248" t="s">
        <v>157</v>
      </c>
      <c r="B3" s="248" t="s">
        <v>101</v>
      </c>
      <c r="C3" s="250" t="s">
        <v>158</v>
      </c>
    </row>
    <row r="4" spans="1:3" x14ac:dyDescent="0.25">
      <c r="A4" s="249" t="s">
        <v>159</v>
      </c>
      <c r="B4" s="249" t="s">
        <v>160</v>
      </c>
      <c r="C4" s="249">
        <v>2</v>
      </c>
    </row>
    <row r="5" spans="1:3" x14ac:dyDescent="0.25">
      <c r="A5" s="249" t="s">
        <v>162</v>
      </c>
      <c r="B5" s="249" t="s">
        <v>161</v>
      </c>
      <c r="C5" s="249">
        <v>6</v>
      </c>
    </row>
    <row r="6" spans="1:3" x14ac:dyDescent="0.25">
      <c r="A6" s="249" t="s">
        <v>163</v>
      </c>
      <c r="B6" s="249" t="s">
        <v>164</v>
      </c>
      <c r="C6" s="249" t="s">
        <v>23</v>
      </c>
    </row>
    <row r="7" spans="1:3" x14ac:dyDescent="0.25">
      <c r="A7" s="249" t="s">
        <v>165</v>
      </c>
      <c r="B7" s="249" t="s">
        <v>166</v>
      </c>
      <c r="C7" s="249" t="s">
        <v>24</v>
      </c>
    </row>
    <row r="8" spans="1:3" x14ac:dyDescent="0.25">
      <c r="A8" s="249" t="s">
        <v>167</v>
      </c>
      <c r="B8" s="249" t="s">
        <v>168</v>
      </c>
      <c r="C8" s="249">
        <v>1</v>
      </c>
    </row>
    <row r="9" spans="1:3" x14ac:dyDescent="0.25">
      <c r="A9" s="249" t="s">
        <v>169</v>
      </c>
      <c r="B9" s="249" t="s">
        <v>170</v>
      </c>
      <c r="C9" s="249">
        <v>2</v>
      </c>
    </row>
    <row r="10" spans="1:3" x14ac:dyDescent="0.25">
      <c r="A10" s="249" t="s">
        <v>171</v>
      </c>
      <c r="B10" s="249" t="s">
        <v>172</v>
      </c>
      <c r="C10" s="249">
        <v>3</v>
      </c>
    </row>
    <row r="11" spans="1:3" x14ac:dyDescent="0.25">
      <c r="A11" s="249" t="s">
        <v>173</v>
      </c>
      <c r="B11" s="249" t="s">
        <v>174</v>
      </c>
      <c r="C11" s="251" t="s">
        <v>175</v>
      </c>
    </row>
  </sheetData>
  <sheetProtection algorithmName="SHA-512" hashValue="YlfdtHeEKGugzI6kT2wJOP9GERawr3IaUnmbmXAj/ov6LCcQJE97IR3iZYQJDMhzv+HM6hLRh//FGGEjZyTufg==" saltValue="I3fqDnR0dvLW8fFnkWmZmg==" spinCount="100000" sheet="1" objects="1" scenarios="1"/>
  <mergeCells count="1">
    <mergeCell ref="A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66"/>
  <sheetViews>
    <sheetView workbookViewId="0">
      <selection activeCell="F6" sqref="F6"/>
    </sheetView>
  </sheetViews>
  <sheetFormatPr defaultRowHeight="12" x14ac:dyDescent="0.2"/>
  <cols>
    <col min="1" max="1" width="2.7109375" style="9" customWidth="1"/>
    <col min="2" max="2" width="39.85546875" style="3" bestFit="1" customWidth="1"/>
    <col min="3" max="4" width="2.7109375" style="9" customWidth="1"/>
    <col min="5" max="5" width="72.5703125" style="3" bestFit="1" customWidth="1"/>
    <col min="6" max="6" width="2.7109375" style="9" customWidth="1"/>
    <col min="7" max="8" width="9.140625" style="15"/>
    <col min="9" max="9" width="4.7109375" style="3" customWidth="1"/>
    <col min="10" max="10" width="23.7109375" style="3" bestFit="1" customWidth="1"/>
    <col min="11" max="11" width="16.140625" style="3" bestFit="1" customWidth="1"/>
    <col min="12" max="16384" width="9.140625" style="3"/>
  </cols>
  <sheetData>
    <row r="1" spans="1:11" x14ac:dyDescent="0.2">
      <c r="B1" s="176" t="s">
        <v>98</v>
      </c>
      <c r="C1" s="95"/>
      <c r="D1" s="95"/>
      <c r="E1" s="31">
        <v>44224</v>
      </c>
      <c r="G1" s="15" t="s">
        <v>104</v>
      </c>
      <c r="H1" s="15" t="s">
        <v>105</v>
      </c>
      <c r="J1" s="177" t="s">
        <v>108</v>
      </c>
      <c r="K1" s="178" t="str">
        <f>ADDRESS(1,MATCH(E1,'Date Drivers'!2:2,0),1,1,"Date Drivers")</f>
        <v>'Date Drivers'!$AG$1</v>
      </c>
    </row>
    <row r="2" spans="1:11" x14ac:dyDescent="0.2">
      <c r="B2" s="176" t="s">
        <v>109</v>
      </c>
      <c r="C2" s="95"/>
      <c r="D2" s="95"/>
      <c r="E2" s="179" t="str">
        <f ca="1">INDEX(INDIRECT($K$1&amp;":"&amp;$K$2),5,1)</f>
        <v>RA332</v>
      </c>
      <c r="G2" s="15">
        <f ca="1">INDEX(INDIRECT($K$1&amp;":"&amp;$K$2),5,3)</f>
        <v>0</v>
      </c>
      <c r="H2" s="15" t="str">
        <f ca="1">INDEX(INDIRECT($K$1&amp;":"&amp;$K$2),5,4)</f>
        <v>Y</v>
      </c>
      <c r="I2" s="9"/>
      <c r="J2" s="177" t="s">
        <v>110</v>
      </c>
      <c r="K2" s="178" t="str">
        <f>ADDRESS(500,MATCH(E1,'Date Drivers'!2:2,0)+4,1,1)</f>
        <v>$AK$500</v>
      </c>
    </row>
    <row r="3" spans="1:11" x14ac:dyDescent="0.2">
      <c r="B3" s="180" t="s">
        <v>111</v>
      </c>
      <c r="C3" s="181"/>
      <c r="D3" s="96"/>
      <c r="E3" s="30" t="str">
        <f ca="1">E2&amp;F4&amp;F9&amp;F19&amp;F29&amp;F39&amp;F49&amp;F55&amp;F61&amp;F65</f>
        <v>RA3323X26222CC</v>
      </c>
    </row>
    <row r="4" spans="1:11" x14ac:dyDescent="0.2">
      <c r="A4" s="157">
        <v>1</v>
      </c>
      <c r="B4" s="19" t="str">
        <f ca="1">INDIRECT("'Date Drivers'!B"&amp;MATCH(A4,'Date Drivers'!A:A,0))</f>
        <v>Power Supply</v>
      </c>
      <c r="C4" s="182" t="s">
        <v>24</v>
      </c>
      <c r="D4" s="97">
        <v>1</v>
      </c>
      <c r="E4" s="25" t="str">
        <f ca="1">VLOOKUP($D$4,$D$5:$F$7,2,FALSE)</f>
        <v>100-250 Vdc / 110-240 Vac</v>
      </c>
      <c r="F4" s="25">
        <f ca="1">VLOOKUP($D$4,$D$5:$F$7,3,FALSE)</f>
        <v>3</v>
      </c>
      <c r="G4" s="183">
        <f ca="1">VLOOKUP($D$4,$D$5:$H$7,4,FALSE)</f>
        <v>0</v>
      </c>
      <c r="H4" s="183" t="str">
        <f ca="1">VLOOKUP($D$4,$D$5:$H$7,5,FALSE)</f>
        <v>Y</v>
      </c>
    </row>
    <row r="5" spans="1:11" x14ac:dyDescent="0.2">
      <c r="C5" s="11">
        <f>MATCH(A4,'Date Drivers'!A:A,0)</f>
        <v>6</v>
      </c>
      <c r="D5" s="11">
        <v>1</v>
      </c>
      <c r="E5" s="21" t="str">
        <f ca="1">IF(INDEX(INDIRECT($K$1&amp;":"&amp;$K$2),C6,1)=0,"",INDEX(INDIRECT($K$1&amp;":"&amp;$K$2),C6,1))</f>
        <v>100-250 Vdc / 110-240 Vac</v>
      </c>
      <c r="F5" s="13">
        <f ca="1">IF(INDEX(INDIRECT($K$1&amp;":"&amp;$K$2),C6,1)=0,"",INDEX(INDIRECT($K$1&amp;":"&amp;$K$2),C6,2))</f>
        <v>3</v>
      </c>
      <c r="G5" s="10">
        <f ca="1">IF(INDEX(INDIRECT($K$1&amp;":"&amp;$K$2),C5,1)=0,"",INDEX(INDIRECT($K$1&amp;":"&amp;$K$2),C5,3))</f>
        <v>0</v>
      </c>
      <c r="H5" s="10" t="str">
        <f ca="1">IF(INDEX(INDIRECT($K$1&amp;":"&amp;$K$2),C5,1)=0,"",INDEX(INDIRECT($K$1&amp;":"&amp;$K$2),C5,4))</f>
        <v>Y</v>
      </c>
    </row>
    <row r="6" spans="1:11" x14ac:dyDescent="0.2">
      <c r="C6" s="12">
        <f>C5+1</f>
        <v>7</v>
      </c>
      <c r="D6" s="12">
        <f>D5+1</f>
        <v>2</v>
      </c>
      <c r="E6" s="22"/>
      <c r="F6" s="14"/>
      <c r="G6" s="164"/>
      <c r="H6" s="164"/>
    </row>
    <row r="7" spans="1:11" x14ac:dyDescent="0.2">
      <c r="C7" s="20">
        <f>C6+1</f>
        <v>8</v>
      </c>
      <c r="D7" s="20">
        <f>D6+1</f>
        <v>3</v>
      </c>
      <c r="E7" s="23" t="str">
        <f ca="1">IF(INDEX(INDIRECT($K$1&amp;":"&amp;$K$2),C7,1)=0,"",INDEX(INDIRECT($K$1&amp;":"&amp;$K$2),C7,1))</f>
        <v/>
      </c>
      <c r="F7" s="26" t="str">
        <f ca="1">IF(INDEX(INDIRECT($K$1&amp;":"&amp;$K$2),C7,1)=0,"",INDEX(INDIRECT($K$1&amp;":"&amp;$K$2),C7,2))</f>
        <v/>
      </c>
      <c r="G7" s="171" t="str">
        <f ca="1">IF(INDEX(INDIRECT($K$1&amp;":"&amp;$K$2),C7,1)=0,"",INDEX(INDIRECT($K$1&amp;":"&amp;$K$2),C7,3))</f>
        <v/>
      </c>
      <c r="H7" s="171" t="str">
        <f ca="1">IF(INDEX(INDIRECT($K$1&amp;":"&amp;$K$2),C7,1)=0,"",INDEX(INDIRECT($K$1&amp;":"&amp;$K$2),C7,4))</f>
        <v/>
      </c>
    </row>
    <row r="9" spans="1:11" x14ac:dyDescent="0.2">
      <c r="A9" s="157">
        <v>2</v>
      </c>
      <c r="B9" s="19" t="str">
        <f ca="1">INDIRECT("'Date Drivers'!B"&amp;MATCH(A9,'Date Drivers'!A:A,0))</f>
        <v>Analogue Inputs 1 to 4</v>
      </c>
      <c r="C9" s="182" t="s">
        <v>24</v>
      </c>
      <c r="D9" s="97">
        <v>5</v>
      </c>
      <c r="E9" s="25" t="str">
        <f ca="1">VLOOKUP($D$9,$D$10:$F$17,2,FALSE)</f>
        <v>Not installed</v>
      </c>
      <c r="F9" s="25" t="str">
        <f ca="1">VLOOKUP($D$9,$D$10:$H$17,3,FALSE)</f>
        <v>X</v>
      </c>
      <c r="G9" s="25">
        <f ca="1">VLOOKUP($D$9,$D$10:$H$17,4,FALSE)</f>
        <v>0</v>
      </c>
      <c r="H9" s="25" t="str">
        <f ca="1">VLOOKUP($D$9,$D$10:$H$17,5,FALSE)</f>
        <v>Y</v>
      </c>
    </row>
    <row r="10" spans="1:11" x14ac:dyDescent="0.2">
      <c r="C10" s="11">
        <f>MATCH(A9,'Date Drivers'!A:A,0)</f>
        <v>9</v>
      </c>
      <c r="D10" s="11">
        <v>1</v>
      </c>
      <c r="E10" s="22" t="str">
        <f ca="1">IF(INDEX(INDIRECT($K$1&amp;":"&amp;$K$2),C11,1)=0,"",INDEX(INDIRECT($K$1&amp;":"&amp;$K$2),C11,1))</f>
        <v>Voltage inputs 115 V / Current inputs 1 A; full-scale 40 A (Ith = 100 A)</v>
      </c>
      <c r="F10" s="14">
        <f ca="1">IF(INDEX(INDIRECT($K$1&amp;":"&amp;$K$2),C11,1)=0,"",INDEX(INDIRECT($K$1&amp;":"&amp;$K$2),C11,2))</f>
        <v>2</v>
      </c>
      <c r="G10" s="10">
        <f t="shared" ref="G10" ca="1" si="0">IF(INDEX(INDIRECT($K$1&amp;":"&amp;$K$2),C10,1)=0,"",INDEX(INDIRECT($K$1&amp;":"&amp;$K$2),C10,3))</f>
        <v>0</v>
      </c>
      <c r="H10" s="10" t="str">
        <f ca="1">IF(INDEX(INDIRECT($K$1&amp;":"&amp;$K$2),C10,1)=0,"",INDEX(INDIRECT($K$1&amp;":"&amp;$K$2),C10,4))</f>
        <v>Y</v>
      </c>
    </row>
    <row r="11" spans="1:11" x14ac:dyDescent="0.2">
      <c r="C11" s="12">
        <f t="shared" ref="C11:D15" si="1">C10+1</f>
        <v>10</v>
      </c>
      <c r="D11" s="12">
        <f t="shared" si="1"/>
        <v>2</v>
      </c>
      <c r="E11" s="22" t="str">
        <f ca="1">IF(INDEX(INDIRECT($K$1&amp;":"&amp;$K$2),C13,1)=0,"",INDEX(INDIRECT($K$1&amp;":"&amp;$K$2),C13,1))</f>
        <v>Voltage inputs 115 V / Current inputs 5 A; full-scale 200 A (Ith = 200 A)</v>
      </c>
      <c r="F11" s="14">
        <f ca="1">IF(INDEX(INDIRECT($K$1&amp;":"&amp;$K$2),C13,1)=0,"",INDEX(INDIRECT($K$1&amp;":"&amp;$K$2),C13,2))</f>
        <v>6</v>
      </c>
      <c r="G11" s="164">
        <f ca="1">IF(INDEX(INDIRECT($K$1&amp;":"&amp;$K$2),C12,1)=0,"",INDEX(INDIRECT($K$1&amp;":"&amp;$K$2),C12,3))</f>
        <v>0</v>
      </c>
      <c r="H11" s="164" t="str">
        <f ca="1">IF(INDEX(INDIRECT($K$1&amp;":"&amp;$K$2),C12,1)=0,"",INDEX(INDIRECT($K$1&amp;":"&amp;$K$2),C12,4))</f>
        <v>Y</v>
      </c>
    </row>
    <row r="12" spans="1:11" x14ac:dyDescent="0.2">
      <c r="C12" s="12">
        <f t="shared" si="1"/>
        <v>11</v>
      </c>
      <c r="D12" s="12">
        <f t="shared" si="1"/>
        <v>3</v>
      </c>
      <c r="E12" s="23" t="str">
        <f ca="1">IF(INDEX(INDIRECT($K$1&amp;":"&amp;$K$2),C15,1)=0,"",INDEX(INDIRECT($K$1&amp;":"&amp;$K$2),C15,1))</f>
        <v>Voltage inputs ±10 Vdc / Current inputs 0-20 mAdc</v>
      </c>
      <c r="F12" s="26" t="str">
        <f ca="1">IF(INDEX(INDIRECT($K$1&amp;":"&amp;$K$2),C15,1)=0,"",INDEX(INDIRECT($K$1&amp;":"&amp;$K$2),C15,2))</f>
        <v>D</v>
      </c>
      <c r="G12" s="164">
        <f ca="1">IF(INDEX(INDIRECT($K$1&amp;":"&amp;$K$2),C13,1)=0,"",INDEX(INDIRECT($K$1&amp;":"&amp;$K$2),C13,3))</f>
        <v>0</v>
      </c>
      <c r="H12" s="164" t="str">
        <f ca="1">IF(INDEX(INDIRECT($K$1&amp;":"&amp;$K$2),C13,1)=0,"",INDEX(INDIRECT($K$1&amp;":"&amp;$K$2),C13,4))</f>
        <v>Y</v>
      </c>
    </row>
    <row r="13" spans="1:11" x14ac:dyDescent="0.2">
      <c r="C13" s="12">
        <f t="shared" si="1"/>
        <v>12</v>
      </c>
      <c r="D13" s="12">
        <f t="shared" si="1"/>
        <v>4</v>
      </c>
      <c r="E13" s="23" t="str">
        <f ca="1">IF(INDEX(INDIRECT($K$1&amp;":"&amp;$K$2),C16,1)=0,"",INDEX(INDIRECT($K$1&amp;":"&amp;$K$2),C16,1))</f>
        <v>Voltage inputs 115 V / Current inputs 100 mA; full-scale 100 mA (Ith = 2 A)</v>
      </c>
      <c r="F13" s="26" t="str">
        <f ca="1">IF(INDEX(INDIRECT($K$1&amp;":"&amp;$K$2),C16,1)=0,"",INDEX(INDIRECT($K$1&amp;":"&amp;$K$2),C16,2))</f>
        <v>P</v>
      </c>
      <c r="G13" s="164">
        <f ca="1">IF(INDEX(INDIRECT($K$1&amp;":"&amp;$K$2),C14,1)=0,"",INDEX(INDIRECT($K$1&amp;":"&amp;$K$2),C14,3))</f>
        <v>0</v>
      </c>
      <c r="H13" s="164" t="str">
        <f ca="1">IF(INDEX(INDIRECT($K$1&amp;":"&amp;$K$2),C14,1)=0,"",INDEX(INDIRECT($K$1&amp;":"&amp;$K$2),C14,4))</f>
        <v>Y</v>
      </c>
    </row>
    <row r="14" spans="1:11" x14ac:dyDescent="0.2">
      <c r="C14" s="12">
        <f t="shared" si="1"/>
        <v>13</v>
      </c>
      <c r="D14" s="12">
        <f t="shared" si="1"/>
        <v>5</v>
      </c>
      <c r="E14" s="23" t="str">
        <f ca="1">IF(INDEX(INDIRECT($K$1&amp;":"&amp;$K$2),C17,1)=0,"",INDEX(INDIRECT($K$1&amp;":"&amp;$K$2),C17,1))</f>
        <v>Not installed</v>
      </c>
      <c r="F14" s="26" t="str">
        <f ca="1">IF(INDEX(INDIRECT($K$1&amp;":"&amp;$K$2),C17,1)=0,"",INDEX(INDIRECT($K$1&amp;":"&amp;$K$2),C17,2))</f>
        <v>X</v>
      </c>
      <c r="G14" s="171">
        <f ca="1">IF(INDEX(INDIRECT($K$1&amp;":"&amp;$K$2),C15,1)=0,"",INDEX(INDIRECT($K$1&amp;":"&amp;$K$2),C15,3))</f>
        <v>0</v>
      </c>
      <c r="H14" s="171" t="str">
        <f ca="1">IF(INDEX(INDIRECT($K$1&amp;":"&amp;$K$2),C15,1)=0,"",INDEX(INDIRECT($K$1&amp;":"&amp;$K$2),C15,4))</f>
        <v>Y</v>
      </c>
    </row>
    <row r="15" spans="1:11" x14ac:dyDescent="0.2">
      <c r="C15" s="20">
        <f t="shared" si="1"/>
        <v>14</v>
      </c>
      <c r="D15" s="20">
        <f t="shared" si="1"/>
        <v>6</v>
      </c>
      <c r="G15" s="238">
        <f ca="1">IF(INDEX(INDIRECT($K$1&amp;":"&amp;$K$2),C16,1)=0,"",INDEX(INDIRECT($K$1&amp;":"&amp;$K$2),C16,3))</f>
        <v>0</v>
      </c>
      <c r="H15" s="238" t="str">
        <f ca="1">IF(INDEX(INDIRECT($K$1&amp;":"&amp;$K$2),C16,1)=0,"",INDEX(INDIRECT($K$1&amp;":"&amp;$K$2),C16,4))</f>
        <v>Y</v>
      </c>
    </row>
    <row r="16" spans="1:11" x14ac:dyDescent="0.2">
      <c r="C16" s="20">
        <f t="shared" ref="C16:D16" si="2">C15+1</f>
        <v>15</v>
      </c>
      <c r="D16" s="20">
        <f t="shared" si="2"/>
        <v>7</v>
      </c>
      <c r="G16" s="171">
        <f t="shared" ref="G16:G17" ca="1" si="3">IF(INDEX(INDIRECT($K$1&amp;":"&amp;$K$2),C16,1)=0,"",INDEX(INDIRECT($K$1&amp;":"&amp;$K$2),C16,3))</f>
        <v>0</v>
      </c>
      <c r="H16" s="171" t="str">
        <f t="shared" ref="H16:H17" ca="1" si="4">IF(INDEX(INDIRECT($K$1&amp;":"&amp;$K$2),C16,1)=0,"",INDEX(INDIRECT($K$1&amp;":"&amp;$K$2),C16,4))</f>
        <v>Y</v>
      </c>
    </row>
    <row r="17" spans="1:8" x14ac:dyDescent="0.2">
      <c r="C17" s="20">
        <f t="shared" ref="C17:D17" si="5">C16+1</f>
        <v>16</v>
      </c>
      <c r="D17" s="20">
        <f t="shared" si="5"/>
        <v>8</v>
      </c>
      <c r="G17" s="171">
        <f t="shared" ca="1" si="3"/>
        <v>0</v>
      </c>
      <c r="H17" s="171" t="str">
        <f t="shared" ca="1" si="4"/>
        <v>Y</v>
      </c>
    </row>
    <row r="19" spans="1:8" x14ac:dyDescent="0.2">
      <c r="A19" s="157">
        <v>3</v>
      </c>
      <c r="B19" s="19" t="str">
        <f ca="1">INDIRECT("'Date Drivers'!B"&amp;MATCH(A19,'Date Drivers'!A:A,0))</f>
        <v>Analogue Inputs 5 to 8</v>
      </c>
      <c r="C19" s="182" t="s">
        <v>24</v>
      </c>
      <c r="D19" s="97">
        <v>1</v>
      </c>
      <c r="E19" s="25" t="str">
        <f ca="1">VLOOKUP($D$19,$D$20:$F$27,2,FALSE)</f>
        <v>Voltage inputs 115 V / Current inputs 1 A; full-scale 40 A (Ith = 100 A)</v>
      </c>
      <c r="F19" s="27">
        <f ca="1">VLOOKUP($D$19,$D$20:$F$27,3,FALSE)</f>
        <v>2</v>
      </c>
      <c r="G19" s="184">
        <f ca="1">VLOOKUP($D$19,$D$20:$H$27,4,FALSE)</f>
        <v>0</v>
      </c>
      <c r="H19" s="184" t="str">
        <f ca="1">VLOOKUP($D$19,$D$20:$H$27,5,FALSE)</f>
        <v>Y</v>
      </c>
    </row>
    <row r="20" spans="1:8" x14ac:dyDescent="0.2">
      <c r="C20" s="11">
        <f>MATCH(A19,'Date Drivers'!A:A,0)</f>
        <v>18</v>
      </c>
      <c r="D20" s="11">
        <v>1</v>
      </c>
      <c r="E20" s="28" t="str">
        <f ca="1">IF(INDEX(INDIRECT($K$1&amp;":"&amp;$K$2),C21,1)=0,"",INDEX(INDIRECT($K$1&amp;":"&amp;$K$2),C21,1))</f>
        <v>Voltage inputs 115 V / Current inputs 1 A; full-scale 40 A (Ith = 100 A)</v>
      </c>
      <c r="F20" s="11">
        <f ca="1">IF(INDEX(INDIRECT($K$1&amp;":"&amp;$K$2),C21,1)=0,"",INDEX(INDIRECT($K$1&amp;":"&amp;$K$2),C21,2))</f>
        <v>2</v>
      </c>
      <c r="G20" s="10">
        <f t="shared" ref="G20" ca="1" si="6">IF(INDEX(INDIRECT($K$1&amp;":"&amp;$K$2),C20,1)=0,"",INDEX(INDIRECT($K$1&amp;":"&amp;$K$2),C20,3))</f>
        <v>0</v>
      </c>
      <c r="H20" s="10" t="str">
        <f ca="1">IF(INDEX(INDIRECT($K$1&amp;":"&amp;$K$2),C20,1)=0,"",INDEX(INDIRECT($K$1&amp;":"&amp;$K$2),C20,4))</f>
        <v>Y</v>
      </c>
    </row>
    <row r="21" spans="1:8" x14ac:dyDescent="0.2">
      <c r="C21" s="12">
        <f t="shared" ref="C21:D25" si="7">C20+1</f>
        <v>19</v>
      </c>
      <c r="D21" s="12">
        <f t="shared" si="7"/>
        <v>2</v>
      </c>
      <c r="E21" s="29" t="str">
        <f ca="1">IF(INDEX(INDIRECT($K$1&amp;":"&amp;$K$2),C23,1)=0,"",INDEX(INDIRECT($K$1&amp;":"&amp;$K$2),C23,1))</f>
        <v>Voltage inputs 115 V / Current inputs 5 A; full-scale 200 A (Ith = 200 A)</v>
      </c>
      <c r="F21" s="12">
        <f ca="1">IF(INDEX(INDIRECT($K$1&amp;":"&amp;$K$2),C23,1)=0,"",INDEX(INDIRECT($K$1&amp;":"&amp;$K$2),C23,2))</f>
        <v>6</v>
      </c>
      <c r="G21" s="164">
        <f ca="1">IF(INDEX(INDIRECT($K$1&amp;":"&amp;$K$2),C22,1)=0,"",INDEX(INDIRECT($K$1&amp;":"&amp;$K$2),C22,3))</f>
        <v>0</v>
      </c>
      <c r="H21" s="164" t="str">
        <f ca="1">IF(INDEX(INDIRECT($K$1&amp;":"&amp;$K$2),C22,1)=0,"",INDEX(INDIRECT($K$1&amp;":"&amp;$K$2),C22,4))</f>
        <v>Y</v>
      </c>
    </row>
    <row r="22" spans="1:8" x14ac:dyDescent="0.2">
      <c r="C22" s="12">
        <f t="shared" si="7"/>
        <v>20</v>
      </c>
      <c r="D22" s="12">
        <f t="shared" si="7"/>
        <v>3</v>
      </c>
      <c r="E22" s="99" t="str">
        <f ca="1">IF(INDEX(INDIRECT($K$1&amp;":"&amp;$K$2),C25,1)=0,"",INDEX(INDIRECT($K$1&amp;":"&amp;$K$2),C25,1))</f>
        <v>Voltage inputs ±10 Vdc / Current inputs 0-20 mAdc</v>
      </c>
      <c r="F22" s="20" t="str">
        <f ca="1">IF(INDEX(INDIRECT($K$1&amp;":"&amp;$K$2),C25,1)=0,"",INDEX(INDIRECT($K$1&amp;":"&amp;$K$2),C25,2))</f>
        <v>D</v>
      </c>
      <c r="G22" s="164">
        <f ca="1">IF(INDEX(INDIRECT($K$1&amp;":"&amp;$K$2),C23,1)=0,"",INDEX(INDIRECT($K$1&amp;":"&amp;$K$2),C23,3))</f>
        <v>0</v>
      </c>
      <c r="H22" s="164" t="str">
        <f ca="1">IF(INDEX(INDIRECT($K$1&amp;":"&amp;$K$2),C23,1)=0,"",INDEX(INDIRECT($K$1&amp;":"&amp;$K$2),C23,4))</f>
        <v>Y</v>
      </c>
    </row>
    <row r="23" spans="1:8" x14ac:dyDescent="0.2">
      <c r="C23" s="12">
        <f t="shared" si="7"/>
        <v>21</v>
      </c>
      <c r="D23" s="12">
        <f t="shared" si="7"/>
        <v>4</v>
      </c>
      <c r="E23" s="99" t="str">
        <f ca="1">IF(INDEX(INDIRECT($K$1&amp;":"&amp;$K$2),C26,1)=0,"",INDEX(INDIRECT($K$1&amp;":"&amp;$K$2),C26,1))</f>
        <v>Voltage inputs 115 V / Current inputs 100 mA; full-scale 100 mA (Ith = 2 A)</v>
      </c>
      <c r="F23" s="20" t="str">
        <f ca="1">IF(INDEX(INDIRECT($K$1&amp;":"&amp;$K$2),C26,1)=0,"",INDEX(INDIRECT($K$1&amp;":"&amp;$K$2),C26,2))</f>
        <v>P</v>
      </c>
      <c r="G23" s="164">
        <f ca="1">IF(INDEX(INDIRECT($K$1&amp;":"&amp;$K$2),C24,1)=0,"",INDEX(INDIRECT($K$1&amp;":"&amp;$K$2),C24,3))</f>
        <v>0</v>
      </c>
      <c r="H23" s="164" t="str">
        <f ca="1">IF(INDEX(INDIRECT($K$1&amp;":"&amp;$K$2),C24,1)=0,"",INDEX(INDIRECT($K$1&amp;":"&amp;$K$2),C24,4))</f>
        <v>Y</v>
      </c>
    </row>
    <row r="24" spans="1:8" x14ac:dyDescent="0.2">
      <c r="C24" s="12">
        <f t="shared" si="7"/>
        <v>22</v>
      </c>
      <c r="D24" s="12">
        <f t="shared" si="7"/>
        <v>5</v>
      </c>
      <c r="E24" s="99" t="str">
        <f ca="1">IF(INDEX(INDIRECT($K$1&amp;":"&amp;$K$2),C27,1)=0,"",INDEX(INDIRECT($K$1&amp;":"&amp;$K$2),C27,1))</f>
        <v>Not installed</v>
      </c>
      <c r="F24" s="20" t="str">
        <f ca="1">IF(INDEX(INDIRECT($K$1&amp;":"&amp;$K$2),C27,1)=0,"",INDEX(INDIRECT($K$1&amp;":"&amp;$K$2),C27,2))</f>
        <v>X</v>
      </c>
      <c r="G24" s="171">
        <f ca="1">IF(INDEX(INDIRECT($K$1&amp;":"&amp;$K$2),C25,1)=0,"",INDEX(INDIRECT($K$1&amp;":"&amp;$K$2),C25,3))</f>
        <v>0</v>
      </c>
      <c r="H24" s="171" t="str">
        <f ca="1">IF(INDEX(INDIRECT($K$1&amp;":"&amp;$K$2),C25,1)=0,"",INDEX(INDIRECT($K$1&amp;":"&amp;$K$2),C25,4))</f>
        <v>Y</v>
      </c>
    </row>
    <row r="25" spans="1:8" x14ac:dyDescent="0.2">
      <c r="C25" s="20">
        <f t="shared" si="7"/>
        <v>23</v>
      </c>
      <c r="D25" s="20">
        <f t="shared" si="7"/>
        <v>6</v>
      </c>
      <c r="G25" s="238">
        <f ca="1">IF(INDEX(INDIRECT($K$1&amp;":"&amp;$K$2),C26,1)=0,"",INDEX(INDIRECT($K$1&amp;":"&amp;$K$2),C26,3))</f>
        <v>0</v>
      </c>
      <c r="H25" s="238" t="str">
        <f ca="1">IF(INDEX(INDIRECT($K$1&amp;":"&amp;$K$2),C26,1)=0,"",INDEX(INDIRECT($K$1&amp;":"&amp;$K$2),C26,4))</f>
        <v>Y</v>
      </c>
    </row>
    <row r="26" spans="1:8" x14ac:dyDescent="0.2">
      <c r="C26" s="20">
        <f t="shared" ref="C26:D26" si="8">C25+1</f>
        <v>24</v>
      </c>
      <c r="D26" s="20">
        <f t="shared" si="8"/>
        <v>7</v>
      </c>
      <c r="G26" s="171">
        <f t="shared" ref="G26:G27" ca="1" si="9">IF(INDEX(INDIRECT($K$1&amp;":"&amp;$K$2),C26,1)=0,"",INDEX(INDIRECT($K$1&amp;":"&amp;$K$2),C26,3))</f>
        <v>0</v>
      </c>
      <c r="H26" s="171" t="str">
        <f t="shared" ref="H26:H27" ca="1" si="10">IF(INDEX(INDIRECT($K$1&amp;":"&amp;$K$2),C26,1)=0,"",INDEX(INDIRECT($K$1&amp;":"&amp;$K$2),C26,4))</f>
        <v>Y</v>
      </c>
    </row>
    <row r="27" spans="1:8" x14ac:dyDescent="0.2">
      <c r="C27" s="20">
        <f t="shared" ref="C27:D27" si="11">C26+1</f>
        <v>25</v>
      </c>
      <c r="D27" s="20">
        <f t="shared" si="11"/>
        <v>8</v>
      </c>
      <c r="G27" s="171">
        <f t="shared" ca="1" si="9"/>
        <v>0</v>
      </c>
      <c r="H27" s="171" t="str">
        <f t="shared" ca="1" si="10"/>
        <v>Y</v>
      </c>
    </row>
    <row r="28" spans="1:8" x14ac:dyDescent="0.2">
      <c r="B28" s="3">
        <v>1</v>
      </c>
    </row>
    <row r="29" spans="1:8" x14ac:dyDescent="0.2">
      <c r="A29" s="157">
        <v>4</v>
      </c>
      <c r="B29" s="19" t="str">
        <f ca="1">INDIRECT("'Date Drivers'!B"&amp;MATCH(A29,'Date Drivers'!A:A,0))</f>
        <v>Analogue Inputs 9 to 12</v>
      </c>
      <c r="C29" s="182"/>
      <c r="D29" s="98">
        <v>2</v>
      </c>
      <c r="E29" s="27" t="str">
        <f ca="1">VLOOKUP($D$29,$D$30:$F$37,2,FALSE)</f>
        <v>Voltage inputs 115 V / Current inputs 5 A; full-scale 200 A (Ith = 200 A)</v>
      </c>
      <c r="F29" s="25">
        <f ca="1">VLOOKUP($D$29,$D$30:$F$37,3,FALSE)</f>
        <v>6</v>
      </c>
      <c r="G29" s="183">
        <f ca="1">VLOOKUP($D$29,$D$30:$H$37,4,FALSE)</f>
        <v>0</v>
      </c>
      <c r="H29" s="183" t="str">
        <f ca="1">VLOOKUP($D$29,$D$30:$H$37,5,FALSE)</f>
        <v>Y</v>
      </c>
    </row>
    <row r="30" spans="1:8" x14ac:dyDescent="0.2">
      <c r="C30" s="11">
        <f>MATCH(A29,'Date Drivers'!A:A,0)</f>
        <v>27</v>
      </c>
      <c r="D30" s="16">
        <v>1</v>
      </c>
      <c r="E30" s="22" t="str">
        <f ca="1">IF(INDEX(INDIRECT($K$1&amp;":"&amp;$K$2),C31,1)=0,"",INDEX(INDIRECT($K$1&amp;":"&amp;$K$2),C31,1))</f>
        <v>Voltage inputs 115 V / Current inputs 1 A; full-scale 40 A (Ith = 100 A)</v>
      </c>
      <c r="F30" s="14">
        <f ca="1">IF(INDEX(INDIRECT($K$1&amp;":"&amp;$K$2),C31,1)=0,"",INDEX(INDIRECT($K$1&amp;":"&amp;$K$2),C31,2))</f>
        <v>2</v>
      </c>
      <c r="G30" s="10">
        <f t="shared" ref="G30" ca="1" si="12">IF(INDEX(INDIRECT($K$1&amp;":"&amp;$K$2),C30,1)=0,"",INDEX(INDIRECT($K$1&amp;":"&amp;$K$2),C30,3))</f>
        <v>0</v>
      </c>
      <c r="H30" s="10" t="str">
        <f t="shared" ref="H30" ca="1" si="13">IF(INDEX(INDIRECT($K$1&amp;":"&amp;$K$2),C30,1)=0,"",INDEX(INDIRECT($K$1&amp;":"&amp;$K$2),C30,4))</f>
        <v>Y</v>
      </c>
    </row>
    <row r="31" spans="1:8" x14ac:dyDescent="0.2">
      <c r="C31" s="12">
        <f t="shared" ref="C31:D35" si="14">C30+1</f>
        <v>28</v>
      </c>
      <c r="D31" s="17">
        <f t="shared" si="14"/>
        <v>2</v>
      </c>
      <c r="E31" s="22" t="str">
        <f ca="1">IF(INDEX(INDIRECT($K$1&amp;":"&amp;$K$2),C33,1)=0,"",INDEX(INDIRECT($K$1&amp;":"&amp;$K$2),C33,1))</f>
        <v>Voltage inputs 115 V / Current inputs 5 A; full-scale 200 A (Ith = 200 A)</v>
      </c>
      <c r="F31" s="14">
        <f ca="1">IF(INDEX(INDIRECT($K$1&amp;":"&amp;$K$2),C33,1)=0,"",INDEX(INDIRECT($K$1&amp;":"&amp;$K$2),C33,2))</f>
        <v>6</v>
      </c>
      <c r="G31" s="164">
        <f ca="1">IF(INDEX(INDIRECT($K$1&amp;":"&amp;$K$2),C32,1)=0,"",INDEX(INDIRECT($K$1&amp;":"&amp;$K$2),C32,3))</f>
        <v>0</v>
      </c>
      <c r="H31" s="164" t="str">
        <f ca="1">IF(INDEX(INDIRECT($K$1&amp;":"&amp;$K$2),C32,1)=0,"",INDEX(INDIRECT($K$1&amp;":"&amp;$K$2),C32,4))</f>
        <v>Y</v>
      </c>
    </row>
    <row r="32" spans="1:8" x14ac:dyDescent="0.2">
      <c r="C32" s="12">
        <f t="shared" si="14"/>
        <v>29</v>
      </c>
      <c r="D32" s="17">
        <f t="shared" si="14"/>
        <v>3</v>
      </c>
      <c r="E32" s="23" t="str">
        <f ca="1">IF(INDEX(INDIRECT($K$1&amp;":"&amp;$K$2),C35,1)=0,"",INDEX(INDIRECT($K$1&amp;":"&amp;$K$2),C35,1))</f>
        <v>Voltage inputs ±10 Vdc / Current inputs 0-20 mAdc</v>
      </c>
      <c r="F32" s="26" t="str">
        <f ca="1">IF(INDEX(INDIRECT($K$1&amp;":"&amp;$K$2),C35,1)=0,"",INDEX(INDIRECT($K$1&amp;":"&amp;$K$2),C35,2))</f>
        <v>D</v>
      </c>
      <c r="G32" s="164">
        <f ca="1">IF(INDEX(INDIRECT($K$1&amp;":"&amp;$K$2),C33,1)=0,"",INDEX(INDIRECT($K$1&amp;":"&amp;$K$2),C33,3))</f>
        <v>0</v>
      </c>
      <c r="H32" s="164" t="str">
        <f ca="1">IF(INDEX(INDIRECT($K$1&amp;":"&amp;$K$2),C33,1)=0,"",INDEX(INDIRECT($K$1&amp;":"&amp;$K$2),C33,4))</f>
        <v>Y</v>
      </c>
    </row>
    <row r="33" spans="1:8" x14ac:dyDescent="0.2">
      <c r="C33" s="12">
        <f t="shared" si="14"/>
        <v>30</v>
      </c>
      <c r="D33" s="17">
        <f t="shared" si="14"/>
        <v>4</v>
      </c>
      <c r="E33" s="23" t="str">
        <f ca="1">IF(INDEX(INDIRECT($K$1&amp;":"&amp;$K$2),C36,1)=0,"",INDEX(INDIRECT($K$1&amp;":"&amp;$K$2),C36,1))</f>
        <v>Voltage inputs 115 V / Current inputs 100 mA; full-scale 100 mA (Ith = 2 A)</v>
      </c>
      <c r="F33" s="26" t="str">
        <f ca="1">IF(INDEX(INDIRECT($K$1&amp;":"&amp;$K$2),C36,1)=0,"",INDEX(INDIRECT($K$1&amp;":"&amp;$K$2),C36,2))</f>
        <v>P</v>
      </c>
      <c r="G33" s="164">
        <f ca="1">IF(INDEX(INDIRECT($K$1&amp;":"&amp;$K$2),C34,1)=0,"",INDEX(INDIRECT($K$1&amp;":"&amp;$K$2),C34,3))</f>
        <v>0</v>
      </c>
      <c r="H33" s="164" t="str">
        <f ca="1">IF(INDEX(INDIRECT($K$1&amp;":"&amp;$K$2),C34,1)=0,"",INDEX(INDIRECT($K$1&amp;":"&amp;$K$2),C34,4))</f>
        <v>Y</v>
      </c>
    </row>
    <row r="34" spans="1:8" x14ac:dyDescent="0.2">
      <c r="C34" s="12">
        <f t="shared" si="14"/>
        <v>31</v>
      </c>
      <c r="D34" s="17">
        <f t="shared" si="14"/>
        <v>5</v>
      </c>
      <c r="E34" s="23" t="str">
        <f ca="1">IF(INDEX(INDIRECT($K$1&amp;":"&amp;$K$2),C37,1)=0,"",INDEX(INDIRECT($K$1&amp;":"&amp;$K$2),C37,1))</f>
        <v>Not installed</v>
      </c>
      <c r="F34" s="26" t="str">
        <f ca="1">IF(INDEX(INDIRECT($K$1&amp;":"&amp;$K$2),C37,1)=0,"",INDEX(INDIRECT($K$1&amp;":"&amp;$K$2),C37,2))</f>
        <v>X</v>
      </c>
      <c r="G34" s="171">
        <f ca="1">IF(INDEX(INDIRECT($K$1&amp;":"&amp;$K$2),C35,1)=0,"",INDEX(INDIRECT($K$1&amp;":"&amp;$K$2),C35,3))</f>
        <v>0</v>
      </c>
      <c r="H34" s="171" t="str">
        <f ca="1">IF(INDEX(INDIRECT($K$1&amp;":"&amp;$K$2),C35,1)=0,"",INDEX(INDIRECT($K$1&amp;":"&amp;$K$2),C35,4))</f>
        <v>Y</v>
      </c>
    </row>
    <row r="35" spans="1:8" x14ac:dyDescent="0.2">
      <c r="C35" s="20">
        <f t="shared" si="14"/>
        <v>32</v>
      </c>
      <c r="D35" s="17">
        <f t="shared" ref="D35" si="15">D34+1</f>
        <v>6</v>
      </c>
      <c r="G35" s="238">
        <f ca="1">IF(INDEX(INDIRECT($K$1&amp;":"&amp;$K$2),C36,1)=0,"",INDEX(INDIRECT($K$1&amp;":"&amp;$K$2),C36,3))</f>
        <v>0</v>
      </c>
      <c r="H35" s="238" t="str">
        <f ca="1">IF(INDEX(INDIRECT($K$1&amp;":"&amp;$K$2),C36,1)=0,"",INDEX(INDIRECT($K$1&amp;":"&amp;$K$2),C36,4))</f>
        <v>Y</v>
      </c>
    </row>
    <row r="36" spans="1:8" x14ac:dyDescent="0.2">
      <c r="C36" s="20">
        <f t="shared" ref="C36:D36" si="16">C35+1</f>
        <v>33</v>
      </c>
      <c r="D36" s="17">
        <f t="shared" si="16"/>
        <v>7</v>
      </c>
      <c r="G36" s="171">
        <f t="shared" ref="G36:G37" ca="1" si="17">IF(INDEX(INDIRECT($K$1&amp;":"&amp;$K$2),C36,1)=0,"",INDEX(INDIRECT($K$1&amp;":"&amp;$K$2),C36,3))</f>
        <v>0</v>
      </c>
      <c r="H36" s="171" t="str">
        <f t="shared" ref="H36:H37" ca="1" si="18">IF(INDEX(INDIRECT($K$1&amp;":"&amp;$K$2),C36,1)=0,"",INDEX(INDIRECT($K$1&amp;":"&amp;$K$2),C36,4))</f>
        <v>Y</v>
      </c>
    </row>
    <row r="37" spans="1:8" x14ac:dyDescent="0.2">
      <c r="C37" s="20">
        <f t="shared" ref="C37:D37" si="19">C36+1</f>
        <v>34</v>
      </c>
      <c r="D37" s="18">
        <f t="shared" si="19"/>
        <v>8</v>
      </c>
      <c r="G37" s="171">
        <f t="shared" ca="1" si="17"/>
        <v>0</v>
      </c>
      <c r="H37" s="171" t="str">
        <f t="shared" ca="1" si="18"/>
        <v>Y</v>
      </c>
    </row>
    <row r="39" spans="1:8" x14ac:dyDescent="0.2">
      <c r="A39" s="157">
        <v>5</v>
      </c>
      <c r="B39" s="19" t="str">
        <f ca="1">INDIRECT("'Date Drivers'!B"&amp;MATCH(A39,'Date Drivers'!A:A,0))</f>
        <v>Analogue Inputs 13 to 16</v>
      </c>
      <c r="C39" s="182"/>
      <c r="D39" s="98">
        <v>1</v>
      </c>
      <c r="E39" s="27" t="str">
        <f ca="1">VLOOKUP($D$39,$D$40:$F$47,2,FALSE)</f>
        <v>Voltage inputs 115 V / Current inputs 1 A; full-scale 40 A (Ith = 100 A)</v>
      </c>
      <c r="F39" s="25">
        <f ca="1">VLOOKUP($D$39,D40:H47,3,FALSE)</f>
        <v>2</v>
      </c>
      <c r="G39" s="183">
        <f ca="1">VLOOKUP($D$39,D40:H47,4,FALSE)</f>
        <v>0</v>
      </c>
      <c r="H39" s="183" t="str">
        <f ca="1">VLOOKUP($D$39,D40:H47,5,FALSE)</f>
        <v>Y</v>
      </c>
    </row>
    <row r="40" spans="1:8" x14ac:dyDescent="0.2">
      <c r="C40" s="11">
        <f>MATCH(A39,'Date Drivers'!A:A,0)</f>
        <v>36</v>
      </c>
      <c r="D40" s="16">
        <v>1</v>
      </c>
      <c r="E40" s="22" t="str">
        <f ca="1">IF(INDEX(INDIRECT($K$1&amp;":"&amp;$K$2),C41,1)=0,"",INDEX(INDIRECT($K$1&amp;":"&amp;$K$2),C41,1))</f>
        <v>Voltage inputs 115 V / Current inputs 1 A; full-scale 40 A (Ith = 100 A)</v>
      </c>
      <c r="F40" s="14">
        <f ca="1">IF(INDEX(INDIRECT($K$1&amp;":"&amp;$K$2),C41,1)=0,"",INDEX(INDIRECT($K$1&amp;":"&amp;$K$2),C41,2))</f>
        <v>2</v>
      </c>
      <c r="G40" s="10">
        <f t="shared" ref="G40" ca="1" si="20">IF(INDEX(INDIRECT($K$1&amp;":"&amp;$K$2),C40,1)=0,"",INDEX(INDIRECT($K$1&amp;":"&amp;$K$2),C40,3))</f>
        <v>0</v>
      </c>
      <c r="H40" s="10" t="str">
        <f t="shared" ref="H40" ca="1" si="21">IF(INDEX(INDIRECT($K$1&amp;":"&amp;$K$2),C40,1)=0,"",INDEX(INDIRECT($K$1&amp;":"&amp;$K$2),C40,4))</f>
        <v>Y</v>
      </c>
    </row>
    <row r="41" spans="1:8" x14ac:dyDescent="0.2">
      <c r="C41" s="12">
        <f t="shared" ref="C41:D45" si="22">C40+1</f>
        <v>37</v>
      </c>
      <c r="D41" s="17">
        <f t="shared" si="22"/>
        <v>2</v>
      </c>
      <c r="E41" s="22" t="str">
        <f ca="1">IF(INDEX(INDIRECT($K$1&amp;":"&amp;$K$2),C43,1)=0,"",INDEX(INDIRECT($K$1&amp;":"&amp;$K$2),C43,1))</f>
        <v>Voltage inputs 115 V / Current inputs 5 A; full-scale 200 A (Ith = 200 A)</v>
      </c>
      <c r="F41" s="14">
        <f ca="1">IF(INDEX(INDIRECT($K$1&amp;":"&amp;$K$2),C43,1)=0,"",INDEX(INDIRECT($K$1&amp;":"&amp;$K$2),C43,2))</f>
        <v>6</v>
      </c>
      <c r="G41" s="164">
        <f ca="1">IF(INDEX(INDIRECT($K$1&amp;":"&amp;$K$2),C42,1)=0,"",INDEX(INDIRECT($K$1&amp;":"&amp;$K$2),C42,3))</f>
        <v>0</v>
      </c>
      <c r="H41" s="164" t="str">
        <f ca="1">IF(INDEX(INDIRECT($K$1&amp;":"&amp;$K$2),C42,1)=0,"",INDEX(INDIRECT($K$1&amp;":"&amp;$K$2),C42,4))</f>
        <v>Y</v>
      </c>
    </row>
    <row r="42" spans="1:8" x14ac:dyDescent="0.2">
      <c r="C42" s="12">
        <f t="shared" si="22"/>
        <v>38</v>
      </c>
      <c r="D42" s="17">
        <f t="shared" si="22"/>
        <v>3</v>
      </c>
      <c r="E42" s="23" t="str">
        <f ca="1">IF(INDEX(INDIRECT($K$1&amp;":"&amp;$K$2),C45,1)=0,"",INDEX(INDIRECT($K$1&amp;":"&amp;$K$2),C45,1))</f>
        <v>Voltage inputs ±10 Vdc / Current inputs 0-20 mAdc</v>
      </c>
      <c r="F42" s="26" t="str">
        <f ca="1">IF(INDEX(INDIRECT($K$1&amp;":"&amp;$K$2),C45,1)=0,"",INDEX(INDIRECT($K$1&amp;":"&amp;$K$2),C45,2))</f>
        <v>D</v>
      </c>
      <c r="G42" s="164">
        <f ca="1">IF(INDEX(INDIRECT($K$1&amp;":"&amp;$K$2),C43,1)=0,"",INDEX(INDIRECT($K$1&amp;":"&amp;$K$2),C43,3))</f>
        <v>0</v>
      </c>
      <c r="H42" s="164">
        <f ca="1">IF(INDEX(INDIRECT($K$1&amp;":"&amp;$K$2),C43,1)=0,"",INDEX(INDIRECT($K$1&amp;":"&amp;$K$2),C43,4))</f>
        <v>0</v>
      </c>
    </row>
    <row r="43" spans="1:8" x14ac:dyDescent="0.2">
      <c r="C43" s="12">
        <f t="shared" si="22"/>
        <v>39</v>
      </c>
      <c r="D43" s="17">
        <f t="shared" si="22"/>
        <v>4</v>
      </c>
      <c r="E43" s="23" t="str">
        <f ca="1">IF(INDEX(INDIRECT($K$1&amp;":"&amp;$K$2),C46,1)=0,"",INDEX(INDIRECT($K$1&amp;":"&amp;$K$2),C46,1))</f>
        <v>Voltage inputs 115 V / Current inputs 100 mA; full-scale 100 mA (Ith = 2 A)</v>
      </c>
      <c r="F43" s="26" t="str">
        <f ca="1">IF(INDEX(INDIRECT($K$1&amp;":"&amp;$K$2),C46,1)=0,"",INDEX(INDIRECT($K$1&amp;":"&amp;$K$2),C46,2))</f>
        <v>P</v>
      </c>
      <c r="G43" s="164">
        <f ca="1">IF(INDEX(INDIRECT($K$1&amp;":"&amp;$K$2),C44,1)=0,"",INDEX(INDIRECT($K$1&amp;":"&amp;$K$2),C44,3))</f>
        <v>0</v>
      </c>
      <c r="H43" s="164" t="str">
        <f ca="1">IF(INDEX(INDIRECT($K$1&amp;":"&amp;$K$2),C44,1)=0,"",INDEX(INDIRECT($K$1&amp;":"&amp;$K$2),C44,4))</f>
        <v>Y</v>
      </c>
    </row>
    <row r="44" spans="1:8" x14ac:dyDescent="0.2">
      <c r="C44" s="12">
        <f t="shared" si="22"/>
        <v>40</v>
      </c>
      <c r="D44" s="17">
        <f t="shared" si="22"/>
        <v>5</v>
      </c>
      <c r="E44" s="23" t="str">
        <f ca="1">IF(INDEX(INDIRECT($K$1&amp;":"&amp;$K$2),C47,1)=0,"",INDEX(INDIRECT($K$1&amp;":"&amp;$K$2),C47,1))</f>
        <v>Not installed</v>
      </c>
      <c r="F44" s="26" t="str">
        <f ca="1">IF(INDEX(INDIRECT($K$1&amp;":"&amp;$K$2),C47,1)=0,"",INDEX(INDIRECT($K$1&amp;":"&amp;$K$2),C47,2))</f>
        <v>X</v>
      </c>
      <c r="G44" s="171">
        <f ca="1">IF(INDEX(INDIRECT($K$1&amp;":"&amp;$K$2),C45,1)=0,"",INDEX(INDIRECT($K$1&amp;":"&amp;$K$2),C45,3))</f>
        <v>0</v>
      </c>
      <c r="H44" s="171" t="str">
        <f ca="1">IF(INDEX(INDIRECT($K$1&amp;":"&amp;$K$2),C45,1)=0,"",INDEX(INDIRECT($K$1&amp;":"&amp;$K$2),C45,4))</f>
        <v>Y</v>
      </c>
    </row>
    <row r="45" spans="1:8" x14ac:dyDescent="0.2">
      <c r="C45" s="20">
        <f t="shared" si="22"/>
        <v>41</v>
      </c>
      <c r="D45" s="18">
        <f t="shared" si="22"/>
        <v>6</v>
      </c>
      <c r="G45" s="238">
        <f ca="1">IF(INDEX(INDIRECT($K$1&amp;":"&amp;$K$2),C46,1)=0,"",INDEX(INDIRECT($K$1&amp;":"&amp;$K$2),C46,3))</f>
        <v>0</v>
      </c>
      <c r="H45" s="238" t="str">
        <f ca="1">IF(INDEX(INDIRECT($K$1&amp;":"&amp;$K$2),C46,1)=0,"",INDEX(INDIRECT($K$1&amp;":"&amp;$K$2),C46,4))</f>
        <v>Y</v>
      </c>
    </row>
    <row r="46" spans="1:8" x14ac:dyDescent="0.2">
      <c r="C46" s="20">
        <f t="shared" ref="C46:D46" si="23">C45+1</f>
        <v>42</v>
      </c>
      <c r="D46" s="18">
        <f t="shared" si="23"/>
        <v>7</v>
      </c>
      <c r="G46" s="171">
        <f t="shared" ref="G46:G47" ca="1" si="24">IF(INDEX(INDIRECT($K$1&amp;":"&amp;$K$2),C46,1)=0,"",INDEX(INDIRECT($K$1&amp;":"&amp;$K$2),C46,3))</f>
        <v>0</v>
      </c>
      <c r="H46" s="171" t="str">
        <f t="shared" ref="H46:H47" ca="1" si="25">IF(INDEX(INDIRECT($K$1&amp;":"&amp;$K$2),C46,1)=0,"",INDEX(INDIRECT($K$1&amp;":"&amp;$K$2),C46,4))</f>
        <v>Y</v>
      </c>
    </row>
    <row r="47" spans="1:8" x14ac:dyDescent="0.2">
      <c r="C47" s="20">
        <f t="shared" ref="C47:D47" si="26">C46+1</f>
        <v>43</v>
      </c>
      <c r="D47" s="18">
        <f t="shared" si="26"/>
        <v>8</v>
      </c>
      <c r="G47" s="171">
        <f t="shared" ca="1" si="24"/>
        <v>0</v>
      </c>
      <c r="H47" s="171" t="str">
        <f t="shared" ca="1" si="25"/>
        <v>Y</v>
      </c>
    </row>
    <row r="49" spans="1:8" x14ac:dyDescent="0.2">
      <c r="A49" s="157">
        <v>6</v>
      </c>
      <c r="B49" s="19" t="str">
        <f ca="1">INDIRECT("'Date Drivers'!B"&amp;MATCH(A49,'Date Drivers'!A:A,0))</f>
        <v>Digital Inputs 1 to 16</v>
      </c>
      <c r="C49" s="182"/>
      <c r="D49" s="98">
        <v>2</v>
      </c>
      <c r="E49" s="27" t="str">
        <f ca="1">VLOOKUP($D$49,$D$50:$F$53,2,FALSE)</f>
        <v>125 V</v>
      </c>
      <c r="F49" s="27">
        <f ca="1">VLOOKUP($D$49,D50:H53,3,FALSE)</f>
        <v>2</v>
      </c>
      <c r="G49" s="184">
        <f ca="1">VLOOKUP($D$49,D50:H53,4,FALSE)</f>
        <v>0</v>
      </c>
      <c r="H49" s="184" t="str">
        <f ca="1">VLOOKUP($D$49,D50:H53,5,FALSE)</f>
        <v>Y</v>
      </c>
    </row>
    <row r="50" spans="1:8" x14ac:dyDescent="0.2">
      <c r="C50" s="11">
        <f>MATCH(A49,'Date Drivers'!A:A,0)</f>
        <v>45</v>
      </c>
      <c r="D50" s="11">
        <v>1</v>
      </c>
      <c r="E50" s="185" t="str">
        <f t="shared" ref="E50:E53" ca="1" si="27">IF(INDEX(INDIRECT($K$1&amp;":"&amp;$K$2),C50,1)=0,"",INDEX(INDIRECT($K$1&amp;":"&amp;$K$2),C50,1))</f>
        <v>24 V / 48 V</v>
      </c>
      <c r="F50" s="13">
        <f t="shared" ref="F50:F53" ca="1" si="28">IF(INDEX(INDIRECT($K$1&amp;":"&amp;$K$2),C50,1)=0,"",INDEX(INDIRECT($K$1&amp;":"&amp;$K$2),C50,2))</f>
        <v>1</v>
      </c>
      <c r="G50" s="10">
        <f t="shared" ref="G50:G53" ca="1" si="29">IF(INDEX(INDIRECT($K$1&amp;":"&amp;$K$2),C50,1)=0,"",INDEX(INDIRECT($K$1&amp;":"&amp;$K$2),C50,3))</f>
        <v>0</v>
      </c>
      <c r="H50" s="10" t="str">
        <f t="shared" ref="H50:H53" ca="1" si="30">IF(INDEX(INDIRECT($K$1&amp;":"&amp;$K$2),C50,1)=0,"",INDEX(INDIRECT($K$1&amp;":"&amp;$K$2),C50,4))</f>
        <v>Y</v>
      </c>
    </row>
    <row r="51" spans="1:8" x14ac:dyDescent="0.2">
      <c r="C51" s="12">
        <f t="shared" ref="C51:D53" si="31">C50+1</f>
        <v>46</v>
      </c>
      <c r="D51" s="12">
        <f t="shared" si="31"/>
        <v>2</v>
      </c>
      <c r="E51" s="186" t="str">
        <f t="shared" ca="1" si="27"/>
        <v>125 V</v>
      </c>
      <c r="F51" s="14">
        <f t="shared" ca="1" si="28"/>
        <v>2</v>
      </c>
      <c r="G51" s="164">
        <f t="shared" ca="1" si="29"/>
        <v>0</v>
      </c>
      <c r="H51" s="164" t="str">
        <f t="shared" ca="1" si="30"/>
        <v>Y</v>
      </c>
    </row>
    <row r="52" spans="1:8" x14ac:dyDescent="0.2">
      <c r="C52" s="12">
        <f t="shared" si="31"/>
        <v>47</v>
      </c>
      <c r="D52" s="12">
        <f t="shared" si="31"/>
        <v>3</v>
      </c>
      <c r="E52" s="186" t="str">
        <f t="shared" ca="1" si="27"/>
        <v>250 V</v>
      </c>
      <c r="F52" s="14">
        <f t="shared" ca="1" si="28"/>
        <v>3</v>
      </c>
      <c r="G52" s="164">
        <f t="shared" ca="1" si="29"/>
        <v>0</v>
      </c>
      <c r="H52" s="164" t="str">
        <f t="shared" ca="1" si="30"/>
        <v>Y</v>
      </c>
    </row>
    <row r="53" spans="1:8" x14ac:dyDescent="0.2">
      <c r="C53" s="20">
        <f t="shared" si="31"/>
        <v>48</v>
      </c>
      <c r="D53" s="20">
        <f t="shared" si="31"/>
        <v>4</v>
      </c>
      <c r="E53" s="187" t="str">
        <f t="shared" ca="1" si="27"/>
        <v>Not installed</v>
      </c>
      <c r="F53" s="26" t="str">
        <f t="shared" ca="1" si="28"/>
        <v>X</v>
      </c>
      <c r="G53" s="171">
        <f t="shared" ca="1" si="29"/>
        <v>0</v>
      </c>
      <c r="H53" s="171" t="str">
        <f t="shared" ca="1" si="30"/>
        <v>Y</v>
      </c>
    </row>
    <row r="55" spans="1:8" x14ac:dyDescent="0.2">
      <c r="A55" s="157">
        <v>7</v>
      </c>
      <c r="B55" s="19" t="str">
        <f ca="1">INDIRECT("'Date Drivers'!B"&amp;MATCH(A55,'Date Drivers'!A:A,0))</f>
        <v>Digital Inputs 17 to 32</v>
      </c>
      <c r="C55" s="182"/>
      <c r="D55" s="98">
        <v>2</v>
      </c>
      <c r="E55" s="27" t="str">
        <f ca="1">VLOOKUP($D$55,$D$56:$F$59,2,FALSE)</f>
        <v>125 V</v>
      </c>
      <c r="F55" s="25">
        <f ca="1">VLOOKUP($D$55,$D$56:$F$59,3,FALSE)</f>
        <v>2</v>
      </c>
      <c r="G55" s="183">
        <f ca="1">VLOOKUP($D$55,$D$56:$H$59,4,FALSE)</f>
        <v>0</v>
      </c>
      <c r="H55" s="183" t="str">
        <f ca="1">VLOOKUP($D$55,$D$56:$H$59,5,FALSE)</f>
        <v>Y</v>
      </c>
    </row>
    <row r="56" spans="1:8" x14ac:dyDescent="0.2">
      <c r="C56" s="11">
        <f>MATCH(A55,'Date Drivers'!A:A,0)</f>
        <v>50</v>
      </c>
      <c r="D56" s="16">
        <v>1</v>
      </c>
      <c r="E56" s="21" t="str">
        <f ca="1">IF(INDEX(INDIRECT($K$1&amp;":"&amp;$K$2),C56,1)=0,"",INDEX(INDIRECT($K$1&amp;":"&amp;$K$2),C56,1))</f>
        <v>24 V / 48 V</v>
      </c>
      <c r="F56" s="11">
        <f ca="1">IF(INDEX(INDIRECT($K$1&amp;":"&amp;$K$2),C56,1)=0,"",INDEX(INDIRECT($K$1&amp;":"&amp;$K$2),C56,2))</f>
        <v>1</v>
      </c>
      <c r="G56" s="10">
        <f t="shared" ref="G56:G59" ca="1" si="32">IF(INDEX(INDIRECT($K$1&amp;":"&amp;$K$2),C56,1)=0,"",INDEX(INDIRECT($K$1&amp;":"&amp;$K$2),C56,3))</f>
        <v>0</v>
      </c>
      <c r="H56" s="10" t="str">
        <f t="shared" ref="H56:H59" ca="1" si="33">IF(INDEX(INDIRECT($K$1&amp;":"&amp;$K$2),C56,1)=0,"",INDEX(INDIRECT($K$1&amp;":"&amp;$K$2),C56,4))</f>
        <v>Y</v>
      </c>
    </row>
    <row r="57" spans="1:8" x14ac:dyDescent="0.2">
      <c r="C57" s="12">
        <f>C56+1</f>
        <v>51</v>
      </c>
      <c r="D57" s="17">
        <f t="shared" ref="D57:D59" si="34">D56+1</f>
        <v>2</v>
      </c>
      <c r="E57" s="29" t="str">
        <f t="shared" ref="E57:E58" ca="1" si="35">IF(INDEX(INDIRECT($K$1&amp;":"&amp;$K$2),C57,1)=0,"",INDEX(INDIRECT($K$1&amp;":"&amp;$K$2),C57,1))</f>
        <v>125 V</v>
      </c>
      <c r="F57" s="12">
        <f t="shared" ref="F57:F58" ca="1" si="36">IF(INDEX(INDIRECT($K$1&amp;":"&amp;$K$2),C57,1)=0,"",INDEX(INDIRECT($K$1&amp;":"&amp;$K$2),C57,2))</f>
        <v>2</v>
      </c>
      <c r="G57" s="164">
        <f t="shared" ref="G57:G58" ca="1" si="37">IF(INDEX(INDIRECT($K$1&amp;":"&amp;$K$2),C57,1)=0,"",INDEX(INDIRECT($K$1&amp;":"&amp;$K$2),C57,3))</f>
        <v>0</v>
      </c>
      <c r="H57" s="164" t="str">
        <f t="shared" ref="H57:H58" ca="1" si="38">IF(INDEX(INDIRECT($K$1&amp;":"&amp;$K$2),C57,1)=0,"",INDEX(INDIRECT($K$1&amp;":"&amp;$K$2),C57,4))</f>
        <v>Y</v>
      </c>
    </row>
    <row r="58" spans="1:8" x14ac:dyDescent="0.2">
      <c r="C58" s="12">
        <f t="shared" ref="C58:C59" si="39">C57+1</f>
        <v>52</v>
      </c>
      <c r="D58" s="17">
        <f t="shared" si="34"/>
        <v>3</v>
      </c>
      <c r="E58" s="29" t="str">
        <f t="shared" ca="1" si="35"/>
        <v>250 V</v>
      </c>
      <c r="F58" s="12">
        <f t="shared" ca="1" si="36"/>
        <v>3</v>
      </c>
      <c r="G58" s="164">
        <f t="shared" ca="1" si="37"/>
        <v>0</v>
      </c>
      <c r="H58" s="164" t="str">
        <f t="shared" ca="1" si="38"/>
        <v>Y</v>
      </c>
    </row>
    <row r="59" spans="1:8" x14ac:dyDescent="0.2">
      <c r="C59" s="20">
        <f t="shared" si="39"/>
        <v>53</v>
      </c>
      <c r="D59" s="18">
        <f t="shared" si="34"/>
        <v>4</v>
      </c>
      <c r="E59" s="99" t="str">
        <f ca="1">IF(INDEX(INDIRECT($K$1&amp;":"&amp;$K$2),C59,1)=0,"",INDEX(INDIRECT($K$1&amp;":"&amp;$K$2),C59,1))</f>
        <v>Not installed</v>
      </c>
      <c r="F59" s="20" t="str">
        <f ca="1">IF(INDEX(INDIRECT($K$1&amp;":"&amp;$K$2),C59,1)=0,"",INDEX(INDIRECT($K$1&amp;":"&amp;$K$2),C59,2))</f>
        <v>X</v>
      </c>
      <c r="G59" s="171">
        <f t="shared" ca="1" si="32"/>
        <v>0</v>
      </c>
      <c r="H59" s="171" t="str">
        <f t="shared" ca="1" si="33"/>
        <v>Y</v>
      </c>
    </row>
    <row r="61" spans="1:8" x14ac:dyDescent="0.2">
      <c r="A61" s="157">
        <v>8</v>
      </c>
      <c r="B61" s="19" t="str">
        <f ca="1">INDIRECT("'Date Drivers'!B"&amp;MATCH(A61,'Date Drivers'!A:A,0))</f>
        <v>Customization / Regionalisation</v>
      </c>
      <c r="C61" s="182"/>
      <c r="D61" s="98">
        <v>1</v>
      </c>
      <c r="E61" s="27" t="str">
        <f ca="1">VLOOKUP($D$61,$D$62:$F$63,2,FALSE)</f>
        <v>GE branding</v>
      </c>
      <c r="F61" s="25" t="str">
        <f ca="1">VLOOKUP($D$61,$D$62:$F$63,3,FALSE)</f>
        <v>C</v>
      </c>
      <c r="G61" s="183">
        <f ca="1">VLOOKUP($D$61,$D$62:$H$63,4,FALSE)</f>
        <v>0</v>
      </c>
      <c r="H61" s="183" t="str">
        <f ca="1">VLOOKUP($D$61,$D$62:$H$63,5,FALSE)</f>
        <v>Y</v>
      </c>
    </row>
    <row r="62" spans="1:8" x14ac:dyDescent="0.2">
      <c r="C62" s="11">
        <f>MATCH(A61,'Date Drivers'!A:A,0)</f>
        <v>55</v>
      </c>
      <c r="D62" s="16">
        <v>1</v>
      </c>
      <c r="E62" s="21" t="str">
        <f ca="1">IF(INDEX(INDIRECT($K$1&amp;":"&amp;$K$2),C62,1)=0,"",INDEX(INDIRECT($K$1&amp;":"&amp;$K$2),C62,1))</f>
        <v>GE branding</v>
      </c>
      <c r="F62" s="14" t="str">
        <f ca="1">IF(INDEX(INDIRECT($K$1&amp;":"&amp;$K$2),C62,1)=0,"",INDEX(INDIRECT($K$1&amp;":"&amp;$K$2),C62,2))</f>
        <v>C</v>
      </c>
      <c r="G62" s="10">
        <f t="shared" ref="G62:G63" ca="1" si="40">IF(INDEX(INDIRECT($K$1&amp;":"&amp;$K$2),C62,1)=0,"",INDEX(INDIRECT($K$1&amp;":"&amp;$K$2),C62,3))</f>
        <v>0</v>
      </c>
      <c r="H62" s="10" t="str">
        <f t="shared" ref="H62:H63" ca="1" si="41">IF(INDEX(INDIRECT($K$1&amp;":"&amp;$K$2),C62,1)=0,"",INDEX(INDIRECT($K$1&amp;":"&amp;$K$2),C62,4))</f>
        <v>Y</v>
      </c>
    </row>
    <row r="63" spans="1:8" x14ac:dyDescent="0.2">
      <c r="C63" s="20">
        <f t="shared" ref="C63:D63" si="42">C62+1</f>
        <v>56</v>
      </c>
      <c r="D63" s="18">
        <f t="shared" si="42"/>
        <v>2</v>
      </c>
      <c r="E63" s="23" t="str">
        <f ca="1">IF(INDEX(INDIRECT($K$1&amp;":"&amp;$K$2),C63,1)=0,"",INDEX(INDIRECT($K$1&amp;":"&amp;$K$2),C63,1))</f>
        <v/>
      </c>
      <c r="F63" s="26" t="str">
        <f ca="1">IF(INDEX(INDIRECT($K$1&amp;":"&amp;$K$2),C63,1)=0,"",INDEX(INDIRECT($K$1&amp;":"&amp;$K$2),C63,2))</f>
        <v/>
      </c>
      <c r="G63" s="171" t="str">
        <f t="shared" ca="1" si="40"/>
        <v/>
      </c>
      <c r="H63" s="171" t="str">
        <f t="shared" ca="1" si="41"/>
        <v/>
      </c>
    </row>
    <row r="65" spans="1:8" x14ac:dyDescent="0.2">
      <c r="A65" s="157">
        <v>9</v>
      </c>
      <c r="B65" s="19" t="str">
        <f ca="1">INDIRECT("'Date Drivers'!B"&amp;MATCH(A65,'Date Drivers'!A:A,0))</f>
        <v>Hardware Design Suffix</v>
      </c>
      <c r="C65" s="182"/>
      <c r="D65" s="98">
        <v>1</v>
      </c>
      <c r="E65" s="27" t="str">
        <f ca="1">VLOOKUP($D$65,$D$66:$F$66,2,FALSE)</f>
        <v>Third version</v>
      </c>
      <c r="F65" s="25" t="str">
        <f ca="1">VLOOKUP($D$61,$D$66:$F$66,3,FALSE)</f>
        <v>C</v>
      </c>
      <c r="G65" s="183">
        <f ca="1">VLOOKUP($D$65,$D$66:$H$66,4,FALSE)</f>
        <v>0</v>
      </c>
      <c r="H65" s="183" t="str">
        <f ca="1">VLOOKUP($D$65,$D$66:$H$66,5,FALSE)</f>
        <v>Y</v>
      </c>
    </row>
    <row r="66" spans="1:8" x14ac:dyDescent="0.2">
      <c r="C66" s="157">
        <f>MATCH(A65,'Date Drivers'!A:A,0)</f>
        <v>58</v>
      </c>
      <c r="D66" s="157">
        <v>1</v>
      </c>
      <c r="E66" s="188" t="str">
        <f ca="1">IF(INDEX(INDIRECT($K$1&amp;":"&amp;$K$2),C66,1)=0,"",INDEX(INDIRECT($K$1&amp;":"&amp;$K$2),C66,1))</f>
        <v>Third version</v>
      </c>
      <c r="F66" s="20" t="str">
        <f ca="1">IF(INDEX(INDIRECT($K$1&amp;":"&amp;$K$2),C66,1)=0,"",INDEX(INDIRECT($K$1&amp;":"&amp;$K$2),C66,2))</f>
        <v>C</v>
      </c>
      <c r="G66" s="162">
        <f t="shared" ref="G66" ca="1" si="43">IF(INDEX(INDIRECT($K$1&amp;":"&amp;$K$2),C66,1)=0,"",INDEX(INDIRECT($K$1&amp;":"&amp;$K$2),C66,3))</f>
        <v>0</v>
      </c>
      <c r="H66" s="162" t="str">
        <f t="shared" ref="H66" ca="1" si="44">IF(INDEX(INDIRECT($K$1&amp;":"&amp;$K$2),C66,1)=0,"",INDEX(INDIRECT($K$1&amp;":"&amp;$K$2),C66,4))</f>
        <v>Y</v>
      </c>
    </row>
  </sheetData>
  <phoneticPr fontId="19" type="noConversion"/>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AJ59"/>
  <sheetViews>
    <sheetView workbookViewId="0">
      <pane xSplit="1" ySplit="1" topLeftCell="X2" activePane="bottomRight" state="frozen"/>
      <selection pane="topRight" activeCell="B1" sqref="B1"/>
      <selection pane="bottomLeft" activeCell="A2" sqref="A2"/>
      <selection pane="bottomRight" activeCell="AG6" sqref="AG6"/>
    </sheetView>
  </sheetViews>
  <sheetFormatPr defaultRowHeight="12" x14ac:dyDescent="0.2"/>
  <cols>
    <col min="1" max="1" width="9.140625" style="169"/>
    <col min="2" max="2" width="34" style="3" bestFit="1" customWidth="1"/>
    <col min="3" max="3" width="72.5703125" style="167" bestFit="1" customWidth="1"/>
    <col min="4" max="7" width="10.7109375" style="167" customWidth="1"/>
    <col min="8" max="8" width="80.28515625" style="167" bestFit="1" customWidth="1"/>
    <col min="9" max="11" width="10.7109375" style="167" customWidth="1"/>
    <col min="12" max="12" width="9.140625" style="3"/>
    <col min="13" max="13" width="72.5703125" style="167" bestFit="1" customWidth="1"/>
    <col min="14" max="16" width="10.7109375" style="167" customWidth="1"/>
    <col min="17" max="17" width="9.140625" style="3"/>
    <col min="18" max="18" width="72.5703125" style="167" bestFit="1" customWidth="1"/>
    <col min="19" max="21" width="10.7109375" style="167" customWidth="1"/>
    <col min="22" max="22" width="9.140625" style="3"/>
    <col min="23" max="23" width="72.5703125" style="236" bestFit="1" customWidth="1"/>
    <col min="24" max="26" width="10.7109375" style="236" customWidth="1"/>
    <col min="27" max="27" width="9.140625" style="3"/>
    <col min="28" max="28" width="64.28515625" style="3" bestFit="1" customWidth="1"/>
    <col min="29" max="32" width="9.140625" style="3"/>
    <col min="33" max="33" width="64.28515625" style="3" bestFit="1" customWidth="1"/>
    <col min="34" max="16384" width="9.140625" style="3"/>
  </cols>
  <sheetData>
    <row r="1" spans="1:36" x14ac:dyDescent="0.2">
      <c r="A1" s="146"/>
      <c r="B1" s="147" t="s">
        <v>98</v>
      </c>
      <c r="C1" s="148">
        <f>Database!$E$1</f>
        <v>44224</v>
      </c>
      <c r="D1" s="148"/>
      <c r="E1" s="148"/>
      <c r="F1" s="148"/>
      <c r="G1" s="149"/>
      <c r="H1" s="148">
        <f>Database!$E$1</f>
        <v>44224</v>
      </c>
      <c r="I1" s="148"/>
      <c r="J1" s="148"/>
      <c r="K1" s="148"/>
      <c r="M1" s="148">
        <f>Database!$E$1</f>
        <v>44224</v>
      </c>
      <c r="N1" s="148"/>
      <c r="O1" s="148"/>
      <c r="P1" s="148"/>
      <c r="R1" s="148">
        <f>Database!$E$1</f>
        <v>44224</v>
      </c>
      <c r="S1" s="148"/>
      <c r="T1" s="148"/>
      <c r="U1" s="148"/>
      <c r="W1" s="228">
        <f>Database!$E$1</f>
        <v>44224</v>
      </c>
      <c r="X1" s="228"/>
      <c r="Y1" s="228"/>
      <c r="Z1" s="228"/>
      <c r="AB1" s="228">
        <f>Database!$E$1</f>
        <v>44224</v>
      </c>
      <c r="AC1" s="228"/>
      <c r="AD1" s="228"/>
      <c r="AE1" s="228"/>
      <c r="AG1" s="228">
        <f>Database!$E$1</f>
        <v>44224</v>
      </c>
      <c r="AH1" s="228"/>
      <c r="AI1" s="228"/>
      <c r="AJ1" s="228"/>
    </row>
    <row r="2" spans="1:36" x14ac:dyDescent="0.2">
      <c r="A2" s="146"/>
      <c r="B2" s="147" t="s">
        <v>99</v>
      </c>
      <c r="C2" s="150">
        <v>41709</v>
      </c>
      <c r="D2" s="151"/>
      <c r="E2" s="151"/>
      <c r="F2" s="151"/>
      <c r="G2" s="152"/>
      <c r="H2" s="150">
        <v>42476</v>
      </c>
      <c r="I2" s="151"/>
      <c r="J2" s="151"/>
      <c r="K2" s="151"/>
      <c r="M2" s="150">
        <v>42494</v>
      </c>
      <c r="N2" s="151"/>
      <c r="O2" s="151"/>
      <c r="P2" s="151"/>
      <c r="R2" s="150">
        <v>43161</v>
      </c>
      <c r="S2" s="151"/>
      <c r="T2" s="151"/>
      <c r="U2" s="151"/>
      <c r="W2" s="229">
        <v>43395</v>
      </c>
      <c r="X2" s="230"/>
      <c r="Y2" s="230"/>
      <c r="Z2" s="230"/>
      <c r="AB2" s="229">
        <v>43662</v>
      </c>
      <c r="AC2" s="230"/>
      <c r="AD2" s="230"/>
      <c r="AE2" s="230"/>
      <c r="AG2" s="229">
        <v>44224</v>
      </c>
      <c r="AH2" s="230"/>
      <c r="AI2" s="230"/>
      <c r="AJ2" s="230"/>
    </row>
    <row r="3" spans="1:36" x14ac:dyDescent="0.2">
      <c r="A3" s="153" t="s">
        <v>100</v>
      </c>
      <c r="B3" s="154" t="s">
        <v>101</v>
      </c>
      <c r="C3" s="155" t="s">
        <v>102</v>
      </c>
      <c r="D3" s="155" t="s">
        <v>103</v>
      </c>
      <c r="E3" s="155" t="s">
        <v>104</v>
      </c>
      <c r="F3" s="156" t="s">
        <v>105</v>
      </c>
      <c r="G3" s="152"/>
      <c r="H3" s="155" t="s">
        <v>102</v>
      </c>
      <c r="I3" s="155" t="s">
        <v>103</v>
      </c>
      <c r="J3" s="155" t="s">
        <v>104</v>
      </c>
      <c r="K3" s="174" t="s">
        <v>105</v>
      </c>
      <c r="M3" s="155" t="s">
        <v>102</v>
      </c>
      <c r="N3" s="155" t="s">
        <v>103</v>
      </c>
      <c r="O3" s="155" t="s">
        <v>104</v>
      </c>
      <c r="P3" s="174" t="s">
        <v>105</v>
      </c>
      <c r="R3" s="155" t="s">
        <v>102</v>
      </c>
      <c r="S3" s="155" t="s">
        <v>103</v>
      </c>
      <c r="T3" s="155" t="s">
        <v>104</v>
      </c>
      <c r="U3" s="174" t="s">
        <v>105</v>
      </c>
      <c r="W3" s="231" t="s">
        <v>102</v>
      </c>
      <c r="X3" s="231" t="s">
        <v>103</v>
      </c>
      <c r="Y3" s="231" t="s">
        <v>104</v>
      </c>
      <c r="Z3" s="240" t="s">
        <v>105</v>
      </c>
      <c r="AB3" s="231" t="s">
        <v>102</v>
      </c>
      <c r="AC3" s="231" t="s">
        <v>103</v>
      </c>
      <c r="AD3" s="231" t="s">
        <v>104</v>
      </c>
      <c r="AE3" s="240" t="s">
        <v>105</v>
      </c>
      <c r="AG3" s="231" t="s">
        <v>102</v>
      </c>
      <c r="AH3" s="231" t="s">
        <v>103</v>
      </c>
      <c r="AI3" s="231" t="s">
        <v>104</v>
      </c>
      <c r="AJ3" s="240" t="s">
        <v>105</v>
      </c>
    </row>
    <row r="4" spans="1:36" x14ac:dyDescent="0.2">
      <c r="A4" s="157"/>
      <c r="B4" s="19" t="str">
        <f>HLOOKUP(Language!$C$3,Language!$E$1:$Z566,2,FALSE)</f>
        <v>Model Type</v>
      </c>
      <c r="C4" s="5" t="str">
        <f>CONCATENATE(C5," ",HLOOKUP(Language!$C$3,Language!$E$1:$Z502,3,FALSE))</f>
        <v>RA332 Acquisition Module for RPV311</v>
      </c>
      <c r="D4" s="158"/>
      <c r="E4" s="158"/>
      <c r="F4" s="159"/>
      <c r="G4" s="160"/>
      <c r="H4" s="5" t="str">
        <f>CONCATENATE(H5," ",HLOOKUP(Language!$C$3,Language!$E$1:$Z502,3,FALSE))</f>
        <v>RA332 Acquisition Module for RPV311</v>
      </c>
      <c r="I4" s="158"/>
      <c r="J4" s="158"/>
      <c r="K4" s="175"/>
      <c r="M4" s="5" t="str">
        <f>CONCATENATE(M5," ",HLOOKUP(Language!$C$3,Language!$E$1:$Z502,3,FALSE))</f>
        <v>RA332 Acquisition Module for RPV311</v>
      </c>
      <c r="N4" s="158"/>
      <c r="O4" s="158"/>
      <c r="P4" s="175"/>
      <c r="R4" s="5" t="str">
        <f>CONCATENATE(R5," ",HLOOKUP(Language!$C$3,Language!$E$1:$Z502,3,FALSE))</f>
        <v>RA332 Acquisition Module for RPV311</v>
      </c>
      <c r="S4" s="158"/>
      <c r="T4" s="158"/>
      <c r="U4" s="175"/>
      <c r="W4" s="218" t="str">
        <f>CONCATENATE(W5," ",HLOOKUP(Language!$C$3,Language!$E$1:$Z502,3,FALSE))</f>
        <v>RA332 Acquisition Module for RPV311</v>
      </c>
      <c r="X4" s="232"/>
      <c r="Y4" s="232"/>
      <c r="Z4" s="241"/>
      <c r="AB4" s="218" t="str">
        <f>CONCATENATE(AB5," ",HLOOKUP(Language!$C$3,Language!$E$1:$Z502,3,FALSE))</f>
        <v>RA332 Acquisition Module for RPV311</v>
      </c>
      <c r="AC4" s="232"/>
      <c r="AD4" s="232"/>
      <c r="AE4" s="241"/>
      <c r="AG4" s="218" t="str">
        <f>CONCATENATE(AG5," ",HLOOKUP(Language!$C$3,Language!$E$1:$Z502,3,FALSE))</f>
        <v>RA332 Acquisition Module for RPV311</v>
      </c>
      <c r="AH4" s="232"/>
      <c r="AI4" s="232"/>
      <c r="AJ4" s="241"/>
    </row>
    <row r="5" spans="1:36" x14ac:dyDescent="0.2">
      <c r="A5" s="157"/>
      <c r="B5" s="161" t="s">
        <v>106</v>
      </c>
      <c r="C5" s="162" t="str">
        <f>HLOOKUP(Language!$C$3,Language!$E$1:$Z502,4,FALSE)</f>
        <v>RA332</v>
      </c>
      <c r="D5" s="162"/>
      <c r="E5" s="163"/>
      <c r="F5" s="162" t="s">
        <v>107</v>
      </c>
      <c r="G5" s="164"/>
      <c r="H5" s="162" t="str">
        <f>HLOOKUP(Language!$C$3,Language!$E$1:$Z502,4,FALSE)</f>
        <v>RA332</v>
      </c>
      <c r="I5" s="162"/>
      <c r="J5" s="163"/>
      <c r="K5" s="162" t="s">
        <v>107</v>
      </c>
      <c r="M5" s="162" t="str">
        <f>HLOOKUP(Language!$C$3,Language!$E$1:$Z502,4,FALSE)</f>
        <v>RA332</v>
      </c>
      <c r="N5" s="162"/>
      <c r="O5" s="163"/>
      <c r="P5" s="162" t="s">
        <v>107</v>
      </c>
      <c r="R5" s="162" t="str">
        <f>HLOOKUP(Language!$C$3,Language!$E$1:$Z502,4,FALSE)</f>
        <v>RA332</v>
      </c>
      <c r="S5" s="162"/>
      <c r="T5" s="163"/>
      <c r="U5" s="162" t="s">
        <v>107</v>
      </c>
      <c r="W5" s="233" t="str">
        <f>HLOOKUP(Language!$C$3,Language!$E$1:$Z502,4,FALSE)</f>
        <v>RA332</v>
      </c>
      <c r="X5" s="233"/>
      <c r="Y5" s="234"/>
      <c r="Z5" s="233" t="s">
        <v>107</v>
      </c>
      <c r="AB5" s="233" t="str">
        <f>HLOOKUP(Language!$C$3,Language!$E$1:$Z502,4,FALSE)</f>
        <v>RA332</v>
      </c>
      <c r="AC5" s="233"/>
      <c r="AD5" s="234"/>
      <c r="AE5" s="233" t="s">
        <v>107</v>
      </c>
      <c r="AG5" s="233" t="str">
        <f>HLOOKUP(Language!$C$3,Language!$E$1:$Z502,4,FALSE)</f>
        <v>RA332</v>
      </c>
      <c r="AH5" s="233"/>
      <c r="AI5" s="234"/>
      <c r="AJ5" s="233" t="s">
        <v>107</v>
      </c>
    </row>
    <row r="6" spans="1:36" x14ac:dyDescent="0.2">
      <c r="A6" s="11">
        <v>1</v>
      </c>
      <c r="B6" s="4" t="str">
        <f>HLOOKUP(Language!$C$3,Language!$E$1:$Z566,5,FALSE)</f>
        <v>Power Supply</v>
      </c>
      <c r="C6" s="7" t="str">
        <f>HLOOKUP(Language!$C$3,Language!$E$1:$Z502,6,FALSE)</f>
        <v>100-250 Vdc / 110-240 Vac</v>
      </c>
      <c r="D6" s="7">
        <v>3</v>
      </c>
      <c r="E6" s="7"/>
      <c r="F6" s="165" t="s">
        <v>107</v>
      </c>
      <c r="G6" s="8"/>
      <c r="H6" s="7" t="str">
        <f>HLOOKUP(Language!$C$3,Language!$E$1:$Z502,39,FALSE)</f>
        <v>24-48 Vdc (withdrawn)</v>
      </c>
      <c r="I6" s="7">
        <v>1</v>
      </c>
      <c r="J6" s="7"/>
      <c r="K6" s="7" t="s">
        <v>107</v>
      </c>
      <c r="M6" s="7" t="str">
        <f>HLOOKUP(Language!$C$3,Language!$E$1:$Z502,39,FALSE)</f>
        <v>24-48 Vdc (withdrawn)</v>
      </c>
      <c r="N6" s="7">
        <v>1</v>
      </c>
      <c r="O6" s="7"/>
      <c r="P6" s="7" t="s">
        <v>107</v>
      </c>
      <c r="R6" s="7" t="str">
        <f>HLOOKUP(Language!$C$3,Language!$E$1:$Z502,39,FALSE)</f>
        <v>24-48 Vdc (withdrawn)</v>
      </c>
      <c r="S6" s="7">
        <v>1</v>
      </c>
      <c r="T6" s="7"/>
      <c r="U6" s="7" t="s">
        <v>107</v>
      </c>
      <c r="W6" s="244" t="str">
        <f>HLOOKUP(Language!$C$3,Language!$E$1:$Z502,6,FALSE)</f>
        <v>100-250 Vdc / 110-240 Vac</v>
      </c>
      <c r="X6" s="244">
        <v>3</v>
      </c>
      <c r="Y6" s="220"/>
      <c r="Z6" s="220" t="s">
        <v>107</v>
      </c>
      <c r="AB6" s="244" t="str">
        <f>HLOOKUP(Language!$C$3,Language!$E$1:$Z502,6,FALSE)</f>
        <v>100-250 Vdc / 110-240 Vac</v>
      </c>
      <c r="AC6" s="244">
        <v>3</v>
      </c>
      <c r="AD6" s="220"/>
      <c r="AE6" s="220" t="s">
        <v>107</v>
      </c>
      <c r="AG6" s="244" t="str">
        <f>HLOOKUP(Language!$C$3,Language!$E$1:$Z502,39,FALSE)</f>
        <v>24-48 Vdc (withdrawn)</v>
      </c>
      <c r="AH6" s="244">
        <v>1</v>
      </c>
      <c r="AI6" s="220"/>
      <c r="AJ6" s="220" t="s">
        <v>107</v>
      </c>
    </row>
    <row r="7" spans="1:36" x14ac:dyDescent="0.2">
      <c r="A7" s="12"/>
      <c r="C7" s="8"/>
      <c r="D7" s="8"/>
      <c r="E7" s="8"/>
      <c r="F7" s="166"/>
      <c r="G7" s="8"/>
      <c r="H7" s="8" t="str">
        <f>HLOOKUP(Language!$C$3,Language!$E$1:$Z503,6,FALSE)</f>
        <v>100-250 Vdc / 110-240 Vac</v>
      </c>
      <c r="I7" s="8">
        <v>3</v>
      </c>
      <c r="J7" s="8"/>
      <c r="K7" s="8" t="s">
        <v>107</v>
      </c>
      <c r="M7" s="8" t="str">
        <f>HLOOKUP(Language!$C$3,Language!$E$1:$Z503,6,FALSE)</f>
        <v>100-250 Vdc / 110-240 Vac</v>
      </c>
      <c r="N7" s="8">
        <v>3</v>
      </c>
      <c r="O7" s="8"/>
      <c r="P7" s="8" t="s">
        <v>107</v>
      </c>
      <c r="R7" s="8" t="str">
        <f>HLOOKUP(Language!$C$3,Language!$E$1:$Z503,6,FALSE)</f>
        <v>100-250 Vdc / 110-240 Vac</v>
      </c>
      <c r="S7" s="8">
        <v>3</v>
      </c>
      <c r="T7" s="8"/>
      <c r="U7" s="8" t="s">
        <v>107</v>
      </c>
      <c r="W7" s="221" t="str">
        <f>HLOOKUP(Language!$C$3,Language!$E$1:$Z503,6,FALSE)</f>
        <v>100-250 Vdc / 110-240 Vac</v>
      </c>
      <c r="X7" s="221">
        <v>3</v>
      </c>
      <c r="Y7" s="221"/>
      <c r="Z7" s="221" t="s">
        <v>107</v>
      </c>
      <c r="AB7" s="244" t="str">
        <f>HLOOKUP(Language!$C$3,Language!$E$1:$Z503,6,FALSE)</f>
        <v>100-250 Vdc / 110-240 Vac</v>
      </c>
      <c r="AC7" s="244">
        <v>3</v>
      </c>
      <c r="AD7" s="244"/>
      <c r="AE7" s="244" t="s">
        <v>107</v>
      </c>
      <c r="AG7" s="244" t="str">
        <f>HLOOKUP(Language!$C$3,Language!$E$1:$Z503,6,FALSE)</f>
        <v>100-250 Vdc / 110-240 Vac</v>
      </c>
      <c r="AH7" s="244">
        <v>3</v>
      </c>
      <c r="AI7" s="244"/>
      <c r="AJ7" s="244" t="s">
        <v>107</v>
      </c>
    </row>
    <row r="8" spans="1:36" x14ac:dyDescent="0.2">
      <c r="A8" s="20"/>
      <c r="C8" s="171"/>
      <c r="D8" s="6"/>
      <c r="E8" s="6"/>
      <c r="G8" s="164"/>
      <c r="H8" s="171"/>
      <c r="I8" s="6"/>
      <c r="J8" s="6"/>
      <c r="K8" s="164"/>
      <c r="M8" s="171"/>
      <c r="N8" s="6"/>
      <c r="O8" s="6"/>
      <c r="P8" s="164"/>
      <c r="R8" s="171"/>
      <c r="S8" s="6"/>
      <c r="T8" s="6"/>
      <c r="U8" s="164"/>
      <c r="W8" s="238"/>
      <c r="X8" s="219"/>
      <c r="Y8" s="219"/>
      <c r="Z8" s="235"/>
      <c r="AB8" s="238"/>
      <c r="AC8" s="219"/>
      <c r="AD8" s="219"/>
      <c r="AE8" s="235"/>
      <c r="AG8" s="238"/>
      <c r="AH8" s="219"/>
      <c r="AI8" s="219"/>
      <c r="AJ8" s="235"/>
    </row>
    <row r="9" spans="1:36" x14ac:dyDescent="0.2">
      <c r="A9" s="11">
        <v>2</v>
      </c>
      <c r="B9" s="4" t="str">
        <f>HLOOKUP(Language!$C$3,Language!$E$1:$Z566,7,FALSE)</f>
        <v>Analogue Inputs 1 to 4</v>
      </c>
      <c r="C9" s="10" t="str">
        <f>HLOOKUP(Language!$C$3,Language!$E$1:$Z502,8,FALSE)</f>
        <v>1 A / 115 V</v>
      </c>
      <c r="D9" s="10">
        <v>1</v>
      </c>
      <c r="E9" s="10"/>
      <c r="F9" s="168" t="s">
        <v>107</v>
      </c>
      <c r="G9" s="164"/>
      <c r="H9" s="10" t="str">
        <f>HLOOKUP(Language!$C$3,Language!$E$1:$Z502,40,FALSE)</f>
        <v>Voltage inputs 115 V / Current inputs 1 A; full-scale 20 A (Ith = 40 A) (withdrawn)</v>
      </c>
      <c r="I9" s="10">
        <v>1</v>
      </c>
      <c r="J9" s="10"/>
      <c r="K9" s="10" t="s">
        <v>107</v>
      </c>
      <c r="M9" s="10" t="str">
        <f>HLOOKUP(Language!$C$3,Language!$E$1:$Z502,40,FALSE)</f>
        <v>Voltage inputs 115 V / Current inputs 1 A; full-scale 20 A (Ith = 40 A) (withdrawn)</v>
      </c>
      <c r="N9" s="10">
        <v>1</v>
      </c>
      <c r="O9" s="10"/>
      <c r="P9" s="10" t="s">
        <v>107</v>
      </c>
      <c r="R9" s="10" t="str">
        <f>HLOOKUP(Language!$C$3,Language!$E$1:$Z502,40,FALSE)</f>
        <v>Voltage inputs 115 V / Current inputs 1 A; full-scale 20 A (Ith = 40 A) (withdrawn)</v>
      </c>
      <c r="S9" s="10">
        <v>1</v>
      </c>
      <c r="T9" s="10"/>
      <c r="U9" s="10" t="s">
        <v>107</v>
      </c>
      <c r="W9" s="222" t="str">
        <f>HLOOKUP(Language!$C$3,Language!$E$1:$Z502,40,FALSE)</f>
        <v>Voltage inputs 115 V / Current inputs 1 A; full-scale 20 A (Ith = 40 A) (withdrawn)</v>
      </c>
      <c r="X9" s="222">
        <v>1</v>
      </c>
      <c r="Y9" s="222"/>
      <c r="Z9" s="222" t="s">
        <v>107</v>
      </c>
      <c r="AB9" s="222" t="str">
        <f>HLOOKUP(Language!$C$3,Language!$E$1:$Z502,40,FALSE)</f>
        <v>Voltage inputs 115 V / Current inputs 1 A; full-scale 20 A (Ith = 40 A) (withdrawn)</v>
      </c>
      <c r="AC9" s="222">
        <v>1</v>
      </c>
      <c r="AD9" s="222"/>
      <c r="AE9" s="222" t="s">
        <v>107</v>
      </c>
      <c r="AG9" s="222" t="str">
        <f>HLOOKUP(Language!$C$3,Language!$E$1:$Z502,40,FALSE)</f>
        <v>Voltage inputs 115 V / Current inputs 1 A; full-scale 20 A (Ith = 40 A) (withdrawn)</v>
      </c>
      <c r="AH9" s="222">
        <v>1</v>
      </c>
      <c r="AI9" s="222"/>
      <c r="AJ9" s="222" t="s">
        <v>107</v>
      </c>
    </row>
    <row r="10" spans="1:36" x14ac:dyDescent="0.2">
      <c r="A10" s="12"/>
      <c r="B10" s="24"/>
      <c r="C10" s="164"/>
      <c r="D10" s="6"/>
      <c r="E10" s="6"/>
      <c r="G10" s="164"/>
      <c r="J10" s="6"/>
      <c r="K10" s="164" t="s">
        <v>107</v>
      </c>
      <c r="M10" s="164"/>
      <c r="N10" s="6"/>
      <c r="O10" s="6"/>
      <c r="P10" s="164"/>
      <c r="R10" s="164" t="str">
        <f>HLOOKUP(Language!$C$3,Language!$E$1:$Z503,52,FALSE)</f>
        <v>Voltage inputs 115 V / Current inputs 1 A; full-scale 40 A (Ith = 100 A)</v>
      </c>
      <c r="S10" s="6">
        <v>2</v>
      </c>
      <c r="T10" s="6"/>
      <c r="U10" s="164" t="s">
        <v>107</v>
      </c>
      <c r="W10" s="235" t="str">
        <f>HLOOKUP(Language!$C$3,Language!$E$1:$Z503,52,FALSE)</f>
        <v>Voltage inputs 115 V / Current inputs 1 A; full-scale 40 A (Ith = 100 A)</v>
      </c>
      <c r="X10" s="219">
        <v>2</v>
      </c>
      <c r="Y10" s="219"/>
      <c r="Z10" s="235" t="s">
        <v>107</v>
      </c>
      <c r="AB10" s="235" t="str">
        <f>HLOOKUP(Language!$C$3,Language!$E$1:$Z503,52,FALSE)</f>
        <v>Voltage inputs 115 V / Current inputs 1 A; full-scale 40 A (Ith = 100 A)</v>
      </c>
      <c r="AC10" s="219">
        <v>2</v>
      </c>
      <c r="AD10" s="219"/>
      <c r="AE10" s="235" t="s">
        <v>107</v>
      </c>
      <c r="AG10" s="235" t="str">
        <f>HLOOKUP(Language!$C$3,Language!$E$1:$Z503,52,FALSE)</f>
        <v>Voltage inputs 115 V / Current inputs 1 A; full-scale 40 A (Ith = 100 A)</v>
      </c>
      <c r="AH10" s="219">
        <v>2</v>
      </c>
      <c r="AI10" s="219"/>
      <c r="AJ10" s="235" t="s">
        <v>107</v>
      </c>
    </row>
    <row r="11" spans="1:36" x14ac:dyDescent="0.2">
      <c r="A11" s="12"/>
      <c r="B11" s="24"/>
      <c r="C11" s="164" t="str">
        <f>HLOOKUP(Language!$C$3,Language!$E$1:$Z498,10,FALSE)</f>
        <v>5 A / 115 V</v>
      </c>
      <c r="D11" s="6">
        <v>5</v>
      </c>
      <c r="E11" s="6"/>
      <c r="F11" s="167" t="s">
        <v>107</v>
      </c>
      <c r="G11" s="164"/>
      <c r="H11" s="164" t="str">
        <f>HLOOKUP(Language!$C$3,Language!$E$1:$Z503,41,FALSE)</f>
        <v>Voltage inputs 115 V / Current inputs 5 A; full-scale 100 A (Ith = 200 A) (withdrawn)</v>
      </c>
      <c r="I11" s="6">
        <v>5</v>
      </c>
      <c r="J11" s="6"/>
      <c r="K11" s="164" t="s">
        <v>107</v>
      </c>
      <c r="M11" s="164" t="str">
        <f>HLOOKUP(Language!$C$3,Language!$E$1:$Z498,41,FALSE)</f>
        <v>Voltage inputs 115 V / Current inputs 5 A; full-scale 100 A (Ith = 200 A) (withdrawn)</v>
      </c>
      <c r="N11" s="6">
        <v>5</v>
      </c>
      <c r="O11" s="6"/>
      <c r="P11" s="164" t="s">
        <v>107</v>
      </c>
      <c r="R11" s="164" t="str">
        <f>HLOOKUP(Language!$C$3,Language!$E$1:$Z498,41,FALSE)</f>
        <v>Voltage inputs 115 V / Current inputs 5 A; full-scale 100 A (Ith = 200 A) (withdrawn)</v>
      </c>
      <c r="S11" s="6">
        <v>5</v>
      </c>
      <c r="T11" s="6"/>
      <c r="U11" s="164" t="s">
        <v>107</v>
      </c>
      <c r="W11" s="235" t="str">
        <f>HLOOKUP(Language!$C$3,Language!$E$1:$Z498,41,FALSE)</f>
        <v>Voltage inputs 115 V / Current inputs 5 A; full-scale 100 A (Ith = 200 A) (withdrawn)</v>
      </c>
      <c r="X11" s="219">
        <v>5</v>
      </c>
      <c r="Y11" s="219"/>
      <c r="Z11" s="235" t="s">
        <v>107</v>
      </c>
      <c r="AB11" s="235" t="str">
        <f>HLOOKUP(Language!$C$3,Language!$E$1:$Z498,41,FALSE)</f>
        <v>Voltage inputs 115 V / Current inputs 5 A; full-scale 100 A (Ith = 200 A) (withdrawn)</v>
      </c>
      <c r="AC11" s="219">
        <v>5</v>
      </c>
      <c r="AD11" s="219"/>
      <c r="AE11" s="235" t="s">
        <v>107</v>
      </c>
      <c r="AG11" s="235" t="str">
        <f>HLOOKUP(Language!$C$3,Language!$E$1:$Z498,41,FALSE)</f>
        <v>Voltage inputs 115 V / Current inputs 5 A; full-scale 100 A (Ith = 200 A) (withdrawn)</v>
      </c>
      <c r="AH11" s="219">
        <v>5</v>
      </c>
      <c r="AI11" s="219"/>
      <c r="AJ11" s="235" t="s">
        <v>107</v>
      </c>
    </row>
    <row r="12" spans="1:36" x14ac:dyDescent="0.2">
      <c r="A12" s="12"/>
      <c r="B12" s="24"/>
      <c r="C12" s="164"/>
      <c r="D12" s="6"/>
      <c r="E12" s="6"/>
      <c r="G12" s="164"/>
      <c r="J12" s="6"/>
      <c r="K12" s="164" t="s">
        <v>107</v>
      </c>
      <c r="M12" s="164"/>
      <c r="N12" s="6"/>
      <c r="O12" s="6"/>
      <c r="P12" s="164"/>
      <c r="R12" s="164" t="str">
        <f>HLOOKUP(Language!$C$3,Language!$E$1:$Z499,53,FALSE)</f>
        <v>Voltage inputs 115 V / Current inputs 5 A; full-scale 200 A (Ith = 200 A)</v>
      </c>
      <c r="S12" s="6">
        <v>6</v>
      </c>
      <c r="T12" s="6"/>
      <c r="U12" s="164" t="s">
        <v>107</v>
      </c>
      <c r="W12" s="235" t="str">
        <f>HLOOKUP(Language!$C$3,Language!$E$1:$Z499,53,FALSE)</f>
        <v>Voltage inputs 115 V / Current inputs 5 A; full-scale 200 A (Ith = 200 A)</v>
      </c>
      <c r="X12" s="219">
        <v>6</v>
      </c>
      <c r="Y12" s="219"/>
      <c r="Z12" s="235" t="s">
        <v>107</v>
      </c>
      <c r="AB12" s="235" t="str">
        <f>HLOOKUP(Language!$C$3,Language!$E$1:$Z499,53,FALSE)</f>
        <v>Voltage inputs 115 V / Current inputs 5 A; full-scale 200 A (Ith = 200 A)</v>
      </c>
      <c r="AC12" s="219">
        <v>6</v>
      </c>
      <c r="AD12" s="219"/>
      <c r="AE12" s="235" t="s">
        <v>107</v>
      </c>
      <c r="AG12" s="235" t="str">
        <f>HLOOKUP(Language!$C$3,Language!$E$1:$Z499,53,FALSE)</f>
        <v>Voltage inputs 115 V / Current inputs 5 A; full-scale 200 A (Ith = 200 A)</v>
      </c>
      <c r="AH12" s="219">
        <v>6</v>
      </c>
      <c r="AI12" s="219"/>
      <c r="AJ12" s="235" t="s">
        <v>107</v>
      </c>
    </row>
    <row r="13" spans="1:36" x14ac:dyDescent="0.2">
      <c r="A13" s="12"/>
      <c r="B13" s="24"/>
      <c r="C13" s="164" t="str">
        <f>HLOOKUP(Language!$C$3,Language!$E$1:$Z498,11,FALSE)</f>
        <v>5 A (PMU) / 115 V</v>
      </c>
      <c r="D13" s="6" t="s">
        <v>22</v>
      </c>
      <c r="E13" s="6"/>
      <c r="F13" s="167" t="s">
        <v>107</v>
      </c>
      <c r="G13" s="164"/>
      <c r="H13" s="164" t="str">
        <f>HLOOKUP(Language!$C$3,Language!$E$1:$Z504,42,FALSE)</f>
        <v>Voltage inputs 115 V / Current inputs 5 A; full-scale 14 A (Ith = 32 A) (withdrawn)</v>
      </c>
      <c r="I13" s="6" t="s">
        <v>22</v>
      </c>
      <c r="J13" s="6"/>
      <c r="K13" s="164" t="s">
        <v>107</v>
      </c>
      <c r="M13" s="164" t="str">
        <f>HLOOKUP(Language!$C$3,Language!$E$1:$Z498,42,FALSE)</f>
        <v>Voltage inputs 115 V / Current inputs 5 A; full-scale 14 A (Ith = 32 A) (withdrawn)</v>
      </c>
      <c r="N13" s="6" t="s">
        <v>22</v>
      </c>
      <c r="O13" s="6"/>
      <c r="P13" s="164" t="s">
        <v>107</v>
      </c>
      <c r="R13" s="164" t="str">
        <f>HLOOKUP(Language!$C$3,Language!$E$1:$Z498,42,FALSE)</f>
        <v>Voltage inputs 115 V / Current inputs 5 A; full-scale 14 A (Ith = 32 A) (withdrawn)</v>
      </c>
      <c r="S13" s="6" t="s">
        <v>22</v>
      </c>
      <c r="T13" s="6"/>
      <c r="U13" s="164" t="s">
        <v>107</v>
      </c>
      <c r="W13" s="235" t="str">
        <f>HLOOKUP(Language!$C$3,Language!$E$1:$Z498,42,FALSE)</f>
        <v>Voltage inputs 115 V / Current inputs 5 A; full-scale 14 A (Ith = 32 A) (withdrawn)</v>
      </c>
      <c r="X13" s="219" t="s">
        <v>22</v>
      </c>
      <c r="Y13" s="219"/>
      <c r="Z13" s="235" t="s">
        <v>107</v>
      </c>
      <c r="AB13" s="235" t="str">
        <f>HLOOKUP(Language!$C$3,Language!$E$1:$Z498,42,FALSE)</f>
        <v>Voltage inputs 115 V / Current inputs 5 A; full-scale 14 A (Ith = 32 A) (withdrawn)</v>
      </c>
      <c r="AC13" s="219" t="s">
        <v>22</v>
      </c>
      <c r="AD13" s="219"/>
      <c r="AE13" s="235" t="s">
        <v>107</v>
      </c>
      <c r="AG13" s="235" t="str">
        <f>HLOOKUP(Language!$C$3,Language!$E$1:$Z498,42,FALSE)</f>
        <v>Voltage inputs 115 V / Current inputs 5 A; full-scale 14 A (Ith = 32 A) (withdrawn)</v>
      </c>
      <c r="AH13" s="219" t="s">
        <v>22</v>
      </c>
      <c r="AI13" s="219"/>
      <c r="AJ13" s="235" t="s">
        <v>107</v>
      </c>
    </row>
    <row r="14" spans="1:36" x14ac:dyDescent="0.2">
      <c r="A14" s="12"/>
      <c r="B14" s="24"/>
      <c r="C14" s="164" t="str">
        <f>HLOOKUP(Language!$C$3,Language!$E$1:$Z498,12,FALSE)</f>
        <v>0-20 mA / ± 10 V</v>
      </c>
      <c r="D14" s="6" t="s">
        <v>23</v>
      </c>
      <c r="E14" s="6"/>
      <c r="F14" s="167" t="s">
        <v>107</v>
      </c>
      <c r="G14" s="164"/>
      <c r="H14" s="164" t="str">
        <f>HLOOKUP(Language!$C$3,Language!$E$1:$Z505,43,FALSE)</f>
        <v>Voltage inputs ±10 Vdc / Current inputs 0-20 mAdc</v>
      </c>
      <c r="I14" s="6" t="s">
        <v>23</v>
      </c>
      <c r="J14" s="6"/>
      <c r="K14" s="164" t="s">
        <v>107</v>
      </c>
      <c r="M14" s="164" t="str">
        <f>HLOOKUP(Language!$C$3,Language!$E$1:$Z498,43,FALSE)</f>
        <v>Voltage inputs ±10 Vdc / Current inputs 0-20 mAdc</v>
      </c>
      <c r="N14" s="6" t="s">
        <v>23</v>
      </c>
      <c r="O14" s="6"/>
      <c r="P14" s="164" t="s">
        <v>107</v>
      </c>
      <c r="R14" s="164" t="str">
        <f>HLOOKUP(Language!$C$3,Language!$E$1:$Z498,43,FALSE)</f>
        <v>Voltage inputs ±10 Vdc / Current inputs 0-20 mAdc</v>
      </c>
      <c r="S14" s="6" t="s">
        <v>23</v>
      </c>
      <c r="T14" s="6"/>
      <c r="U14" s="164" t="s">
        <v>107</v>
      </c>
      <c r="W14" s="235" t="str">
        <f>HLOOKUP(Language!$C$3,Language!$E$1:$Z498,43,FALSE)</f>
        <v>Voltage inputs ±10 Vdc / Current inputs 0-20 mAdc</v>
      </c>
      <c r="X14" s="219" t="s">
        <v>23</v>
      </c>
      <c r="Y14" s="219"/>
      <c r="Z14" s="235" t="s">
        <v>107</v>
      </c>
      <c r="AB14" s="235" t="str">
        <f>HLOOKUP(Language!$C$3,Language!$E$1:$Z498,43,FALSE)</f>
        <v>Voltage inputs ±10 Vdc / Current inputs 0-20 mAdc</v>
      </c>
      <c r="AC14" s="219" t="s">
        <v>23</v>
      </c>
      <c r="AD14" s="219"/>
      <c r="AE14" s="235" t="s">
        <v>107</v>
      </c>
      <c r="AG14" s="235" t="str">
        <f>HLOOKUP(Language!$C$3,Language!$E$1:$Z498,43,FALSE)</f>
        <v>Voltage inputs ±10 Vdc / Current inputs 0-20 mAdc</v>
      </c>
      <c r="AH14" s="219" t="s">
        <v>23</v>
      </c>
      <c r="AI14" s="219"/>
      <c r="AJ14" s="235" t="s">
        <v>107</v>
      </c>
    </row>
    <row r="15" spans="1:36" x14ac:dyDescent="0.2">
      <c r="A15" s="12"/>
      <c r="B15" s="24"/>
      <c r="C15" s="164" t="str">
        <f>HLOOKUP(Language!$C$3,Language!$E$1:$Z499,13,FALSE)</f>
        <v>100 mA / 115 V</v>
      </c>
      <c r="D15" s="6" t="s">
        <v>24</v>
      </c>
      <c r="E15" s="6"/>
      <c r="F15" s="167" t="s">
        <v>107</v>
      </c>
      <c r="G15" s="164"/>
      <c r="H15" s="164" t="str">
        <f>HLOOKUP(Language!$C$3,Language!$E$1:$Z506,44,FALSE)</f>
        <v>Voltage inputs 115 V / Current inputs 100 mA; full-scale 100 mA (Ith = 2 A)</v>
      </c>
      <c r="I15" s="6" t="s">
        <v>24</v>
      </c>
      <c r="J15" s="6"/>
      <c r="K15" s="164" t="s">
        <v>107</v>
      </c>
      <c r="M15" s="164" t="str">
        <f>HLOOKUP(Language!$C$3,Language!$E$1:$Z499,44,FALSE)</f>
        <v>Voltage inputs 115 V / Current inputs 100 mA; full-scale 100 mA (Ith = 2 A)</v>
      </c>
      <c r="N15" s="6" t="s">
        <v>24</v>
      </c>
      <c r="O15" s="6"/>
      <c r="P15" s="164" t="s">
        <v>107</v>
      </c>
      <c r="R15" s="164" t="str">
        <f>HLOOKUP(Language!$C$3,Language!$E$1:$Z499,44,FALSE)</f>
        <v>Voltage inputs 115 V / Current inputs 100 mA; full-scale 100 mA (Ith = 2 A)</v>
      </c>
      <c r="S15" s="6" t="s">
        <v>24</v>
      </c>
      <c r="T15" s="6"/>
      <c r="U15" s="164" t="s">
        <v>107</v>
      </c>
      <c r="W15" s="235" t="str">
        <f>HLOOKUP(Language!$C$3,Language!$E$1:$Z499,44,FALSE)</f>
        <v>Voltage inputs 115 V / Current inputs 100 mA; full-scale 100 mA (Ith = 2 A)</v>
      </c>
      <c r="X15" s="219" t="s">
        <v>24</v>
      </c>
      <c r="Y15" s="219"/>
      <c r="Z15" s="235" t="s">
        <v>107</v>
      </c>
      <c r="AB15" s="235" t="str">
        <f>HLOOKUP(Language!$C$3,Language!$E$1:$Z499,44,FALSE)</f>
        <v>Voltage inputs 115 V / Current inputs 100 mA; full-scale 100 mA (Ith = 2 A)</v>
      </c>
      <c r="AC15" s="219" t="s">
        <v>24</v>
      </c>
      <c r="AD15" s="219"/>
      <c r="AE15" s="235" t="s">
        <v>107</v>
      </c>
      <c r="AG15" s="235" t="str">
        <f>HLOOKUP(Language!$C$3,Language!$E$1:$Z499,44,FALSE)</f>
        <v>Voltage inputs 115 V / Current inputs 100 mA; full-scale 100 mA (Ith = 2 A)</v>
      </c>
      <c r="AH15" s="219" t="s">
        <v>24</v>
      </c>
      <c r="AI15" s="219"/>
      <c r="AJ15" s="235" t="s">
        <v>107</v>
      </c>
    </row>
    <row r="16" spans="1:36" x14ac:dyDescent="0.2">
      <c r="A16" s="12"/>
      <c r="B16" s="24"/>
      <c r="C16" s="164" t="str">
        <f>HLOOKUP(Language!$C$3,Language!$E$1:$Z500,14,FALSE)</f>
        <v>Not installed</v>
      </c>
      <c r="D16" s="6" t="s">
        <v>11</v>
      </c>
      <c r="E16" s="6"/>
      <c r="F16" s="167" t="s">
        <v>107</v>
      </c>
      <c r="G16" s="164"/>
      <c r="H16" s="164" t="str">
        <f>HLOOKUP(Language!$C$3,Language!$E$1:$Z507,14,FALSE)</f>
        <v>Not installed</v>
      </c>
      <c r="I16" s="6" t="s">
        <v>11</v>
      </c>
      <c r="J16" s="6"/>
      <c r="K16" s="164" t="s">
        <v>107</v>
      </c>
      <c r="M16" s="164" t="str">
        <f>HLOOKUP(Language!$C$3,Language!$E$1:$Z500,14,FALSE)</f>
        <v>Not installed</v>
      </c>
      <c r="N16" s="6" t="s">
        <v>11</v>
      </c>
      <c r="O16" s="6"/>
      <c r="P16" s="164" t="s">
        <v>107</v>
      </c>
      <c r="R16" s="164" t="str">
        <f>HLOOKUP(Language!$C$3,Language!$E$1:$Z500,14,FALSE)</f>
        <v>Not installed</v>
      </c>
      <c r="S16" s="6" t="s">
        <v>11</v>
      </c>
      <c r="T16" s="6"/>
      <c r="U16" s="164" t="s">
        <v>107</v>
      </c>
      <c r="W16" s="235" t="str">
        <f>HLOOKUP(Language!$C$3,Language!$E$1:$Z500,14,FALSE)</f>
        <v>Not installed</v>
      </c>
      <c r="X16" s="219" t="s">
        <v>11</v>
      </c>
      <c r="Y16" s="219"/>
      <c r="Z16" s="235" t="s">
        <v>107</v>
      </c>
      <c r="AB16" s="235" t="str">
        <f>HLOOKUP(Language!$C$3,Language!$E$1:$Z500,14,FALSE)</f>
        <v>Not installed</v>
      </c>
      <c r="AC16" s="219" t="s">
        <v>11</v>
      </c>
      <c r="AD16" s="219"/>
      <c r="AE16" s="235" t="s">
        <v>107</v>
      </c>
      <c r="AG16" s="235" t="str">
        <f>HLOOKUP(Language!$C$3,Language!$E$1:$Z500,14,FALSE)</f>
        <v>Not installed</v>
      </c>
      <c r="AH16" s="219" t="s">
        <v>11</v>
      </c>
      <c r="AI16" s="219"/>
      <c r="AJ16" s="235" t="s">
        <v>107</v>
      </c>
    </row>
    <row r="17" spans="1:36" x14ac:dyDescent="0.2">
      <c r="A17" s="20"/>
      <c r="C17" s="171"/>
      <c r="D17" s="6"/>
      <c r="E17" s="6"/>
      <c r="G17" s="164"/>
      <c r="H17" s="171"/>
      <c r="I17" s="6"/>
      <c r="J17" s="6"/>
      <c r="K17" s="164"/>
      <c r="M17" s="171"/>
      <c r="N17" s="6"/>
      <c r="O17" s="6"/>
      <c r="P17" s="164"/>
      <c r="R17" s="171"/>
      <c r="S17" s="6"/>
      <c r="T17" s="6"/>
      <c r="U17" s="164"/>
      <c r="W17" s="238"/>
      <c r="X17" s="219"/>
      <c r="Y17" s="219"/>
      <c r="Z17" s="235"/>
      <c r="AB17" s="238"/>
      <c r="AC17" s="219"/>
      <c r="AD17" s="219"/>
      <c r="AE17" s="235"/>
      <c r="AG17" s="238"/>
      <c r="AH17" s="219"/>
      <c r="AI17" s="219"/>
      <c r="AJ17" s="235"/>
    </row>
    <row r="18" spans="1:36" x14ac:dyDescent="0.2">
      <c r="A18" s="11">
        <v>3</v>
      </c>
      <c r="B18" s="4" t="str">
        <f>HLOOKUP(Language!$C$3,Language!$E$1:$Z566,15,FALSE)</f>
        <v>Analogue Inputs 5 to 8</v>
      </c>
      <c r="C18" s="10" t="str">
        <f>HLOOKUP(Language!$C$3,Language!$E$1:$Z509,8,FALSE)</f>
        <v>1 A / 115 V</v>
      </c>
      <c r="D18" s="10">
        <v>1</v>
      </c>
      <c r="E18" s="10"/>
      <c r="F18" s="168" t="s">
        <v>107</v>
      </c>
      <c r="G18" s="164"/>
      <c r="H18" s="10" t="str">
        <f>HLOOKUP(Language!$C$3,Language!$E$1:$Z511,40,FALSE)</f>
        <v>Voltage inputs 115 V / Current inputs 1 A; full-scale 20 A (Ith = 40 A) (withdrawn)</v>
      </c>
      <c r="I18" s="10">
        <v>1</v>
      </c>
      <c r="J18" s="10"/>
      <c r="K18" s="10" t="s">
        <v>107</v>
      </c>
      <c r="M18" s="10" t="str">
        <f>HLOOKUP(Language!$C$3,Language!$E$1:$Z509,40,FALSE)</f>
        <v>Voltage inputs 115 V / Current inputs 1 A; full-scale 20 A (Ith = 40 A) (withdrawn)</v>
      </c>
      <c r="N18" s="10">
        <v>1</v>
      </c>
      <c r="O18" s="10"/>
      <c r="P18" s="10" t="s">
        <v>107</v>
      </c>
      <c r="R18" s="10" t="str">
        <f>HLOOKUP(Language!$C$3,Language!$E$1:$Z511,40,FALSE)</f>
        <v>Voltage inputs 115 V / Current inputs 1 A; full-scale 20 A (Ith = 40 A) (withdrawn)</v>
      </c>
      <c r="S18" s="10">
        <v>1</v>
      </c>
      <c r="T18" s="10"/>
      <c r="U18" s="164" t="s">
        <v>107</v>
      </c>
      <c r="W18" s="222" t="str">
        <f>HLOOKUP(Language!$C$3,Language!$E$1:$Z511,40,FALSE)</f>
        <v>Voltage inputs 115 V / Current inputs 1 A; full-scale 20 A (Ith = 40 A) (withdrawn)</v>
      </c>
      <c r="X18" s="222">
        <v>1</v>
      </c>
      <c r="Y18" s="222"/>
      <c r="Z18" s="235" t="s">
        <v>107</v>
      </c>
      <c r="AB18" s="222" t="str">
        <f>HLOOKUP(Language!$C$3,Language!$E$1:$Z511,40,FALSE)</f>
        <v>Voltage inputs 115 V / Current inputs 1 A; full-scale 20 A (Ith = 40 A) (withdrawn)</v>
      </c>
      <c r="AC18" s="222">
        <v>1</v>
      </c>
      <c r="AD18" s="222"/>
      <c r="AE18" s="235" t="s">
        <v>107</v>
      </c>
      <c r="AG18" s="222" t="str">
        <f>HLOOKUP(Language!$C$3,Language!$E$1:$Z511,40,FALSE)</f>
        <v>Voltage inputs 115 V / Current inputs 1 A; full-scale 20 A (Ith = 40 A) (withdrawn)</v>
      </c>
      <c r="AH18" s="222">
        <v>1</v>
      </c>
      <c r="AI18" s="222"/>
      <c r="AJ18" s="235" t="s">
        <v>107</v>
      </c>
    </row>
    <row r="19" spans="1:36" x14ac:dyDescent="0.2">
      <c r="A19" s="12"/>
      <c r="B19" s="24"/>
      <c r="C19" s="164"/>
      <c r="D19" s="6"/>
      <c r="E19" s="6"/>
      <c r="G19" s="164"/>
      <c r="J19" s="6"/>
      <c r="K19" s="164" t="s">
        <v>107</v>
      </c>
      <c r="M19" s="164"/>
      <c r="N19" s="6"/>
      <c r="O19" s="6"/>
      <c r="P19" s="164"/>
      <c r="R19" s="164" t="str">
        <f>HLOOKUP(Language!$C$3,Language!$E$1:$Z512,52,FALSE)</f>
        <v>Voltage inputs 115 V / Current inputs 1 A; full-scale 40 A (Ith = 100 A)</v>
      </c>
      <c r="S19" s="6">
        <v>2</v>
      </c>
      <c r="T19" s="6"/>
      <c r="U19" s="164" t="s">
        <v>107</v>
      </c>
      <c r="W19" s="235" t="str">
        <f>HLOOKUP(Language!$C$3,Language!$E$1:$Z512,52,FALSE)</f>
        <v>Voltage inputs 115 V / Current inputs 1 A; full-scale 40 A (Ith = 100 A)</v>
      </c>
      <c r="X19" s="219">
        <v>2</v>
      </c>
      <c r="Y19" s="219"/>
      <c r="Z19" s="235" t="s">
        <v>107</v>
      </c>
      <c r="AB19" s="235" t="str">
        <f>HLOOKUP(Language!$C$3,Language!$E$1:$Z512,52,FALSE)</f>
        <v>Voltage inputs 115 V / Current inputs 1 A; full-scale 40 A (Ith = 100 A)</v>
      </c>
      <c r="AC19" s="219">
        <v>2</v>
      </c>
      <c r="AD19" s="219"/>
      <c r="AE19" s="235" t="s">
        <v>107</v>
      </c>
      <c r="AG19" s="235" t="str">
        <f>HLOOKUP(Language!$C$3,Language!$E$1:$Z512,52,FALSE)</f>
        <v>Voltage inputs 115 V / Current inputs 1 A; full-scale 40 A (Ith = 100 A)</v>
      </c>
      <c r="AH19" s="219">
        <v>2</v>
      </c>
      <c r="AI19" s="219"/>
      <c r="AJ19" s="235" t="s">
        <v>107</v>
      </c>
    </row>
    <row r="20" spans="1:36" x14ac:dyDescent="0.2">
      <c r="A20" s="12"/>
      <c r="B20" s="24"/>
      <c r="C20" s="164" t="str">
        <f>HLOOKUP(Language!$C$3,Language!$E$1:$Z505,10,FALSE)</f>
        <v>5 A / 115 V</v>
      </c>
      <c r="D20" s="6">
        <v>5</v>
      </c>
      <c r="E20" s="6"/>
      <c r="F20" s="167" t="s">
        <v>107</v>
      </c>
      <c r="G20" s="164"/>
      <c r="H20" s="164" t="str">
        <f>HLOOKUP(Language!$C$3,Language!$E$1:$Z512,41,FALSE)</f>
        <v>Voltage inputs 115 V / Current inputs 5 A; full-scale 100 A (Ith = 200 A) (withdrawn)</v>
      </c>
      <c r="I20" s="6">
        <v>5</v>
      </c>
      <c r="J20" s="6"/>
      <c r="K20" s="164" t="s">
        <v>107</v>
      </c>
      <c r="M20" s="164" t="str">
        <f>HLOOKUP(Language!$C$3,Language!$E$1:$Z505,41,FALSE)</f>
        <v>Voltage inputs 115 V / Current inputs 5 A; full-scale 100 A (Ith = 200 A) (withdrawn)</v>
      </c>
      <c r="N20" s="6">
        <v>5</v>
      </c>
      <c r="O20" s="6"/>
      <c r="P20" s="164" t="s">
        <v>107</v>
      </c>
      <c r="R20" s="164" t="str">
        <f>HLOOKUP(Language!$C$3,Language!$E$1:$Z507,41,FALSE)</f>
        <v>Voltage inputs 115 V / Current inputs 5 A; full-scale 100 A (Ith = 200 A) (withdrawn)</v>
      </c>
      <c r="S20" s="6">
        <v>5</v>
      </c>
      <c r="T20" s="6"/>
      <c r="U20" s="164" t="s">
        <v>107</v>
      </c>
      <c r="W20" s="235" t="str">
        <f>HLOOKUP(Language!$C$3,Language!$E$1:$Z507,41,FALSE)</f>
        <v>Voltage inputs 115 V / Current inputs 5 A; full-scale 100 A (Ith = 200 A) (withdrawn)</v>
      </c>
      <c r="X20" s="219">
        <v>5</v>
      </c>
      <c r="Y20" s="219"/>
      <c r="Z20" s="235" t="s">
        <v>107</v>
      </c>
      <c r="AB20" s="235" t="str">
        <f>HLOOKUP(Language!$C$3,Language!$E$1:$Z507,41,FALSE)</f>
        <v>Voltage inputs 115 V / Current inputs 5 A; full-scale 100 A (Ith = 200 A) (withdrawn)</v>
      </c>
      <c r="AC20" s="219">
        <v>5</v>
      </c>
      <c r="AD20" s="219"/>
      <c r="AE20" s="235" t="s">
        <v>107</v>
      </c>
      <c r="AG20" s="235" t="str">
        <f>HLOOKUP(Language!$C$3,Language!$E$1:$Z507,41,FALSE)</f>
        <v>Voltage inputs 115 V / Current inputs 5 A; full-scale 100 A (Ith = 200 A) (withdrawn)</v>
      </c>
      <c r="AH20" s="219">
        <v>5</v>
      </c>
      <c r="AI20" s="219"/>
      <c r="AJ20" s="235" t="s">
        <v>107</v>
      </c>
    </row>
    <row r="21" spans="1:36" x14ac:dyDescent="0.2">
      <c r="A21" s="12"/>
      <c r="B21" s="24"/>
      <c r="C21" s="164"/>
      <c r="D21" s="6"/>
      <c r="E21" s="6"/>
      <c r="G21" s="164"/>
      <c r="J21" s="6"/>
      <c r="K21" s="164" t="s">
        <v>107</v>
      </c>
      <c r="M21" s="164"/>
      <c r="N21" s="6"/>
      <c r="O21" s="6"/>
      <c r="P21" s="164"/>
      <c r="R21" s="164" t="str">
        <f>HLOOKUP(Language!$C$3,Language!$E$1:$Z508,53,FALSE)</f>
        <v>Voltage inputs 115 V / Current inputs 5 A; full-scale 200 A (Ith = 200 A)</v>
      </c>
      <c r="S21" s="6">
        <v>6</v>
      </c>
      <c r="T21" s="6"/>
      <c r="U21" s="164" t="s">
        <v>107</v>
      </c>
      <c r="W21" s="235" t="str">
        <f>HLOOKUP(Language!$C$3,Language!$E$1:$Z508,53,FALSE)</f>
        <v>Voltage inputs 115 V / Current inputs 5 A; full-scale 200 A (Ith = 200 A)</v>
      </c>
      <c r="X21" s="219">
        <v>6</v>
      </c>
      <c r="Y21" s="219"/>
      <c r="Z21" s="235" t="s">
        <v>107</v>
      </c>
      <c r="AB21" s="235" t="str">
        <f>HLOOKUP(Language!$C$3,Language!$E$1:$Z508,53,FALSE)</f>
        <v>Voltage inputs 115 V / Current inputs 5 A; full-scale 200 A (Ith = 200 A)</v>
      </c>
      <c r="AC21" s="219">
        <v>6</v>
      </c>
      <c r="AD21" s="219"/>
      <c r="AE21" s="235" t="s">
        <v>107</v>
      </c>
      <c r="AG21" s="235" t="str">
        <f>HLOOKUP(Language!$C$3,Language!$E$1:$Z508,53,FALSE)</f>
        <v>Voltage inputs 115 V / Current inputs 5 A; full-scale 200 A (Ith = 200 A)</v>
      </c>
      <c r="AH21" s="219">
        <v>6</v>
      </c>
      <c r="AI21" s="219"/>
      <c r="AJ21" s="235" t="s">
        <v>107</v>
      </c>
    </row>
    <row r="22" spans="1:36" x14ac:dyDescent="0.2">
      <c r="A22" s="12"/>
      <c r="B22" s="24"/>
      <c r="C22" s="164" t="str">
        <f>HLOOKUP(Language!$C$3,Language!$E$1:$Z505,11,FALSE)</f>
        <v>5 A (PMU) / 115 V</v>
      </c>
      <c r="D22" s="6" t="s">
        <v>22</v>
      </c>
      <c r="E22" s="6"/>
      <c r="F22" s="167" t="s">
        <v>107</v>
      </c>
      <c r="G22" s="164"/>
      <c r="H22" s="164" t="str">
        <f>HLOOKUP(Language!$C$3,Language!$E$1:$Z513,42,FALSE)</f>
        <v>Voltage inputs 115 V / Current inputs 5 A; full-scale 14 A (Ith = 32 A) (withdrawn)</v>
      </c>
      <c r="I22" s="6" t="s">
        <v>22</v>
      </c>
      <c r="J22" s="6"/>
      <c r="K22" s="164" t="s">
        <v>107</v>
      </c>
      <c r="M22" s="164" t="str">
        <f>HLOOKUP(Language!$C$3,Language!$E$1:$Z505,42,FALSE)</f>
        <v>Voltage inputs 115 V / Current inputs 5 A; full-scale 14 A (Ith = 32 A) (withdrawn)</v>
      </c>
      <c r="N22" s="6" t="s">
        <v>22</v>
      </c>
      <c r="O22" s="6"/>
      <c r="P22" s="164" t="s">
        <v>107</v>
      </c>
      <c r="R22" s="164" t="str">
        <f>HLOOKUP(Language!$C$3,Language!$E$1:$Z507,42,FALSE)</f>
        <v>Voltage inputs 115 V / Current inputs 5 A; full-scale 14 A (Ith = 32 A) (withdrawn)</v>
      </c>
      <c r="S22" s="6" t="s">
        <v>22</v>
      </c>
      <c r="T22" s="6"/>
      <c r="U22" s="164" t="s">
        <v>107</v>
      </c>
      <c r="W22" s="235" t="str">
        <f>HLOOKUP(Language!$C$3,Language!$E$1:$Z507,42,FALSE)</f>
        <v>Voltage inputs 115 V / Current inputs 5 A; full-scale 14 A (Ith = 32 A) (withdrawn)</v>
      </c>
      <c r="X22" s="219" t="s">
        <v>22</v>
      </c>
      <c r="Y22" s="219"/>
      <c r="Z22" s="235" t="s">
        <v>107</v>
      </c>
      <c r="AB22" s="235" t="str">
        <f>HLOOKUP(Language!$C$3,Language!$E$1:$Z507,42,FALSE)</f>
        <v>Voltage inputs 115 V / Current inputs 5 A; full-scale 14 A (Ith = 32 A) (withdrawn)</v>
      </c>
      <c r="AC22" s="219" t="s">
        <v>22</v>
      </c>
      <c r="AD22" s="219"/>
      <c r="AE22" s="235" t="s">
        <v>107</v>
      </c>
      <c r="AG22" s="235" t="str">
        <f>HLOOKUP(Language!$C$3,Language!$E$1:$Z507,42,FALSE)</f>
        <v>Voltage inputs 115 V / Current inputs 5 A; full-scale 14 A (Ith = 32 A) (withdrawn)</v>
      </c>
      <c r="AH22" s="219" t="s">
        <v>22</v>
      </c>
      <c r="AI22" s="219"/>
      <c r="AJ22" s="235" t="s">
        <v>107</v>
      </c>
    </row>
    <row r="23" spans="1:36" x14ac:dyDescent="0.2">
      <c r="A23" s="12"/>
      <c r="B23" s="24"/>
      <c r="C23" s="164" t="str">
        <f>HLOOKUP(Language!$C$3,Language!$E$1:$Z505,12,FALSE)</f>
        <v>0-20 mA / ± 10 V</v>
      </c>
      <c r="D23" s="6" t="s">
        <v>23</v>
      </c>
      <c r="E23" s="6"/>
      <c r="F23" s="167" t="s">
        <v>107</v>
      </c>
      <c r="G23" s="164"/>
      <c r="H23" s="164" t="str">
        <f>HLOOKUP(Language!$C$3,Language!$E$1:$Z514,43,FALSE)</f>
        <v>Voltage inputs ±10 Vdc / Current inputs 0-20 mAdc</v>
      </c>
      <c r="I23" s="6" t="s">
        <v>23</v>
      </c>
      <c r="J23" s="6"/>
      <c r="K23" s="164" t="s">
        <v>107</v>
      </c>
      <c r="M23" s="164" t="str">
        <f>HLOOKUP(Language!$C$3,Language!$E$1:$Z505,43,FALSE)</f>
        <v>Voltage inputs ±10 Vdc / Current inputs 0-20 mAdc</v>
      </c>
      <c r="N23" s="6" t="s">
        <v>23</v>
      </c>
      <c r="O23" s="6"/>
      <c r="P23" s="164" t="s">
        <v>107</v>
      </c>
      <c r="R23" s="164" t="str">
        <f>HLOOKUP(Language!$C$3,Language!$E$1:$Z507,43,FALSE)</f>
        <v>Voltage inputs ±10 Vdc / Current inputs 0-20 mAdc</v>
      </c>
      <c r="S23" s="6" t="s">
        <v>23</v>
      </c>
      <c r="T23" s="6"/>
      <c r="U23" s="164" t="s">
        <v>107</v>
      </c>
      <c r="W23" s="235" t="str">
        <f>HLOOKUP(Language!$C$3,Language!$E$1:$Z507,43,FALSE)</f>
        <v>Voltage inputs ±10 Vdc / Current inputs 0-20 mAdc</v>
      </c>
      <c r="X23" s="219" t="s">
        <v>23</v>
      </c>
      <c r="Y23" s="219"/>
      <c r="Z23" s="235" t="s">
        <v>107</v>
      </c>
      <c r="AB23" s="235" t="str">
        <f>HLOOKUP(Language!$C$3,Language!$E$1:$Z507,43,FALSE)</f>
        <v>Voltage inputs ±10 Vdc / Current inputs 0-20 mAdc</v>
      </c>
      <c r="AC23" s="219" t="s">
        <v>23</v>
      </c>
      <c r="AD23" s="219"/>
      <c r="AE23" s="235" t="s">
        <v>107</v>
      </c>
      <c r="AG23" s="235" t="str">
        <f>HLOOKUP(Language!$C$3,Language!$E$1:$Z507,43,FALSE)</f>
        <v>Voltage inputs ±10 Vdc / Current inputs 0-20 mAdc</v>
      </c>
      <c r="AH23" s="219" t="s">
        <v>23</v>
      </c>
      <c r="AI23" s="219"/>
      <c r="AJ23" s="235" t="s">
        <v>107</v>
      </c>
    </row>
    <row r="24" spans="1:36" x14ac:dyDescent="0.2">
      <c r="A24" s="12"/>
      <c r="B24" s="24"/>
      <c r="C24" s="164" t="str">
        <f>HLOOKUP(Language!$C$3,Language!$E$1:$Z506,13,FALSE)</f>
        <v>100 mA / 115 V</v>
      </c>
      <c r="D24" s="6" t="s">
        <v>24</v>
      </c>
      <c r="E24" s="6"/>
      <c r="F24" s="167" t="s">
        <v>107</v>
      </c>
      <c r="G24" s="164"/>
      <c r="H24" s="164" t="str">
        <f>HLOOKUP(Language!$C$3,Language!$E$1:$Z515,44,FALSE)</f>
        <v>Voltage inputs 115 V / Current inputs 100 mA; full-scale 100 mA (Ith = 2 A)</v>
      </c>
      <c r="I24" s="6" t="s">
        <v>24</v>
      </c>
      <c r="J24" s="6"/>
      <c r="K24" s="164" t="s">
        <v>107</v>
      </c>
      <c r="M24" s="164" t="str">
        <f>HLOOKUP(Language!$C$3,Language!$E$1:$Z506,44,FALSE)</f>
        <v>Voltage inputs 115 V / Current inputs 100 mA; full-scale 100 mA (Ith = 2 A)</v>
      </c>
      <c r="N24" s="6" t="s">
        <v>24</v>
      </c>
      <c r="O24" s="6"/>
      <c r="P24" s="164" t="s">
        <v>107</v>
      </c>
      <c r="R24" s="164" t="str">
        <f>HLOOKUP(Language!$C$3,Language!$E$1:$Z508,44,FALSE)</f>
        <v>Voltage inputs 115 V / Current inputs 100 mA; full-scale 100 mA (Ith = 2 A)</v>
      </c>
      <c r="S24" s="6" t="s">
        <v>24</v>
      </c>
      <c r="T24" s="6"/>
      <c r="U24" s="164" t="s">
        <v>107</v>
      </c>
      <c r="W24" s="235" t="str">
        <f>HLOOKUP(Language!$C$3,Language!$E$1:$Z508,44,FALSE)</f>
        <v>Voltage inputs 115 V / Current inputs 100 mA; full-scale 100 mA (Ith = 2 A)</v>
      </c>
      <c r="X24" s="219" t="s">
        <v>24</v>
      </c>
      <c r="Y24" s="219"/>
      <c r="Z24" s="235" t="s">
        <v>107</v>
      </c>
      <c r="AB24" s="235" t="str">
        <f>HLOOKUP(Language!$C$3,Language!$E$1:$Z508,44,FALSE)</f>
        <v>Voltage inputs 115 V / Current inputs 100 mA; full-scale 100 mA (Ith = 2 A)</v>
      </c>
      <c r="AC24" s="219" t="s">
        <v>24</v>
      </c>
      <c r="AD24" s="219"/>
      <c r="AE24" s="235" t="s">
        <v>107</v>
      </c>
      <c r="AG24" s="235" t="str">
        <f>HLOOKUP(Language!$C$3,Language!$E$1:$Z508,44,FALSE)</f>
        <v>Voltage inputs 115 V / Current inputs 100 mA; full-scale 100 mA (Ith = 2 A)</v>
      </c>
      <c r="AH24" s="219" t="s">
        <v>24</v>
      </c>
      <c r="AI24" s="219"/>
      <c r="AJ24" s="235" t="s">
        <v>107</v>
      </c>
    </row>
    <row r="25" spans="1:36" x14ac:dyDescent="0.2">
      <c r="A25" s="12"/>
      <c r="B25" s="24"/>
      <c r="C25" s="164" t="str">
        <f>HLOOKUP(Language!$C$3,Language!$E$1:$Z507,14,FALSE)</f>
        <v>Not installed</v>
      </c>
      <c r="D25" s="6" t="s">
        <v>11</v>
      </c>
      <c r="E25" s="6"/>
      <c r="F25" s="167" t="s">
        <v>107</v>
      </c>
      <c r="G25" s="164"/>
      <c r="H25" s="164" t="str">
        <f>HLOOKUP(Language!$C$3,Language!$E$1:$Z516,14,FALSE)</f>
        <v>Not installed</v>
      </c>
      <c r="I25" s="6" t="s">
        <v>11</v>
      </c>
      <c r="J25" s="6"/>
      <c r="K25" s="164" t="s">
        <v>107</v>
      </c>
      <c r="M25" s="164" t="str">
        <f>HLOOKUP(Language!$C$3,Language!$E$1:$Z507,14,FALSE)</f>
        <v>Not installed</v>
      </c>
      <c r="N25" s="6" t="s">
        <v>11</v>
      </c>
      <c r="O25" s="6"/>
      <c r="P25" s="164" t="s">
        <v>107</v>
      </c>
      <c r="R25" s="164" t="str">
        <f>HLOOKUP(Language!$C$3,Language!$E$1:$Z509,14,FALSE)</f>
        <v>Not installed</v>
      </c>
      <c r="S25" s="6" t="s">
        <v>11</v>
      </c>
      <c r="T25" s="6"/>
      <c r="U25" s="164" t="s">
        <v>107</v>
      </c>
      <c r="W25" s="235" t="str">
        <f>HLOOKUP(Language!$C$3,Language!$E$1:$Z509,14,FALSE)</f>
        <v>Not installed</v>
      </c>
      <c r="X25" s="219" t="s">
        <v>11</v>
      </c>
      <c r="Y25" s="219"/>
      <c r="Z25" s="235" t="s">
        <v>107</v>
      </c>
      <c r="AB25" s="235" t="str">
        <f>HLOOKUP(Language!$C$3,Language!$E$1:$Z509,14,FALSE)</f>
        <v>Not installed</v>
      </c>
      <c r="AC25" s="219" t="s">
        <v>11</v>
      </c>
      <c r="AD25" s="219"/>
      <c r="AE25" s="235" t="s">
        <v>107</v>
      </c>
      <c r="AG25" s="235" t="str">
        <f>HLOOKUP(Language!$C$3,Language!$E$1:$Z509,14,FALSE)</f>
        <v>Not installed</v>
      </c>
      <c r="AH25" s="219" t="s">
        <v>11</v>
      </c>
      <c r="AI25" s="219"/>
      <c r="AJ25" s="235" t="s">
        <v>107</v>
      </c>
    </row>
    <row r="26" spans="1:36" x14ac:dyDescent="0.2">
      <c r="A26" s="20"/>
      <c r="C26" s="171"/>
      <c r="D26" s="6"/>
      <c r="E26" s="6"/>
      <c r="G26" s="164"/>
      <c r="H26" s="171"/>
      <c r="I26" s="6"/>
      <c r="J26" s="6"/>
      <c r="K26" s="164"/>
      <c r="M26" s="171"/>
      <c r="N26" s="6"/>
      <c r="O26" s="6"/>
      <c r="P26" s="164"/>
      <c r="R26" s="171"/>
      <c r="S26" s="6"/>
      <c r="T26" s="6"/>
      <c r="U26" s="164"/>
      <c r="W26" s="238"/>
      <c r="X26" s="219"/>
      <c r="Y26" s="219"/>
      <c r="Z26" s="235"/>
      <c r="AB26" s="238"/>
      <c r="AC26" s="219"/>
      <c r="AD26" s="219"/>
      <c r="AE26" s="235"/>
      <c r="AG26" s="238"/>
      <c r="AH26" s="219"/>
      <c r="AI26" s="219"/>
      <c r="AJ26" s="235"/>
    </row>
    <row r="27" spans="1:36" x14ac:dyDescent="0.2">
      <c r="A27" s="11">
        <v>4</v>
      </c>
      <c r="B27" s="4" t="str">
        <f>HLOOKUP(Language!$C$3,Language!$E$1:$Z548,16,FALSE)</f>
        <v>Analogue Inputs 9 to 12</v>
      </c>
      <c r="C27" s="10" t="str">
        <f>HLOOKUP(Language!$C$3,Language!$E$1:$Z517,8,FALSE)</f>
        <v>1 A / 115 V</v>
      </c>
      <c r="D27" s="10">
        <v>1</v>
      </c>
      <c r="E27" s="10"/>
      <c r="F27" s="168" t="s">
        <v>107</v>
      </c>
      <c r="G27" s="164"/>
      <c r="H27" s="10" t="str">
        <f>HLOOKUP(Language!$C$3,Language!$E$1:$Z520,40,FALSE)</f>
        <v>Voltage inputs 115 V / Current inputs 1 A; full-scale 20 A (Ith = 40 A) (withdrawn)</v>
      </c>
      <c r="I27" s="10">
        <v>1</v>
      </c>
      <c r="J27" s="10"/>
      <c r="K27" s="164" t="s">
        <v>107</v>
      </c>
      <c r="M27" s="10" t="str">
        <f>HLOOKUP(Language!$C$3,Language!$E$1:$Z516,40,FALSE)</f>
        <v>Voltage inputs 115 V / Current inputs 1 A; full-scale 20 A (Ith = 40 A) (withdrawn)</v>
      </c>
      <c r="N27" s="10">
        <v>1</v>
      </c>
      <c r="O27" s="10"/>
      <c r="P27" s="10" t="s">
        <v>107</v>
      </c>
      <c r="R27" s="10" t="str">
        <f>HLOOKUP(Language!$C$3,Language!$E$1:$Z520,40,FALSE)</f>
        <v>Voltage inputs 115 V / Current inputs 1 A; full-scale 20 A (Ith = 40 A) (withdrawn)</v>
      </c>
      <c r="S27" s="10">
        <v>1</v>
      </c>
      <c r="T27" s="10"/>
      <c r="U27" s="10" t="s">
        <v>107</v>
      </c>
      <c r="W27" s="222" t="str">
        <f>HLOOKUP(Language!$C$3,Language!$E$1:$Z520,40,FALSE)</f>
        <v>Voltage inputs 115 V / Current inputs 1 A; full-scale 20 A (Ith = 40 A) (withdrawn)</v>
      </c>
      <c r="X27" s="222">
        <v>1</v>
      </c>
      <c r="Y27" s="222"/>
      <c r="Z27" s="222" t="s">
        <v>107</v>
      </c>
      <c r="AB27" s="222" t="str">
        <f>HLOOKUP(Language!$C$3,Language!$E$1:$Z520,40,FALSE)</f>
        <v>Voltage inputs 115 V / Current inputs 1 A; full-scale 20 A (Ith = 40 A) (withdrawn)</v>
      </c>
      <c r="AC27" s="222">
        <v>1</v>
      </c>
      <c r="AD27" s="222"/>
      <c r="AE27" s="222" t="s">
        <v>107</v>
      </c>
      <c r="AG27" s="222" t="str">
        <f>HLOOKUP(Language!$C$3,Language!$E$1:$Z520,40,FALSE)</f>
        <v>Voltage inputs 115 V / Current inputs 1 A; full-scale 20 A (Ith = 40 A) (withdrawn)</v>
      </c>
      <c r="AH27" s="222">
        <v>1</v>
      </c>
      <c r="AI27" s="222"/>
      <c r="AJ27" s="222" t="s">
        <v>107</v>
      </c>
    </row>
    <row r="28" spans="1:36" x14ac:dyDescent="0.2">
      <c r="A28" s="12"/>
      <c r="C28" s="164" t="str">
        <f>HLOOKUP(Language!$C$3,Language!$E$1:$Z513,10,FALSE)</f>
        <v>5 A / 115 V</v>
      </c>
      <c r="D28" s="6">
        <v>5</v>
      </c>
      <c r="E28" s="6"/>
      <c r="F28" s="167" t="s">
        <v>107</v>
      </c>
      <c r="G28" s="164"/>
      <c r="J28" s="6"/>
      <c r="K28" s="164" t="s">
        <v>107</v>
      </c>
      <c r="M28" s="164" t="str">
        <f>HLOOKUP(Language!$C$3,Language!$E$1:$Z512,41,FALSE)</f>
        <v>Voltage inputs 115 V / Current inputs 5 A; full-scale 100 A (Ith = 200 A) (withdrawn)</v>
      </c>
      <c r="N28" s="6">
        <v>5</v>
      </c>
      <c r="O28" s="6"/>
      <c r="P28" s="164" t="s">
        <v>107</v>
      </c>
      <c r="R28" s="164" t="str">
        <f>HLOOKUP(Language!$C$3,Language!$E$1:$Z521,52,FALSE)</f>
        <v>Voltage inputs 115 V / Current inputs 1 A; full-scale 40 A (Ith = 100 A)</v>
      </c>
      <c r="S28" s="6">
        <v>2</v>
      </c>
      <c r="T28" s="6"/>
      <c r="U28" s="164" t="s">
        <v>107</v>
      </c>
      <c r="W28" s="235" t="str">
        <f>HLOOKUP(Language!$C$3,Language!$E$1:$Z521,52,FALSE)</f>
        <v>Voltage inputs 115 V / Current inputs 1 A; full-scale 40 A (Ith = 100 A)</v>
      </c>
      <c r="X28" s="219">
        <v>2</v>
      </c>
      <c r="Y28" s="219"/>
      <c r="Z28" s="235" t="s">
        <v>107</v>
      </c>
      <c r="AB28" s="235" t="str">
        <f>HLOOKUP(Language!$C$3,Language!$E$1:$Z521,52,FALSE)</f>
        <v>Voltage inputs 115 V / Current inputs 1 A; full-scale 40 A (Ith = 100 A)</v>
      </c>
      <c r="AC28" s="219">
        <v>2</v>
      </c>
      <c r="AD28" s="219"/>
      <c r="AE28" s="235" t="s">
        <v>107</v>
      </c>
      <c r="AG28" s="235" t="str">
        <f>HLOOKUP(Language!$C$3,Language!$E$1:$Z521,52,FALSE)</f>
        <v>Voltage inputs 115 V / Current inputs 1 A; full-scale 40 A (Ith = 100 A)</v>
      </c>
      <c r="AH28" s="219">
        <v>2</v>
      </c>
      <c r="AI28" s="219"/>
      <c r="AJ28" s="235" t="s">
        <v>107</v>
      </c>
    </row>
    <row r="29" spans="1:36" x14ac:dyDescent="0.2">
      <c r="A29" s="12"/>
      <c r="C29" s="164"/>
      <c r="D29" s="6"/>
      <c r="E29" s="6"/>
      <c r="G29" s="164"/>
      <c r="H29" s="164" t="str">
        <f>HLOOKUP(Language!$C$3,Language!$E$1:$Z521,41,FALSE)</f>
        <v>Voltage inputs 115 V / Current inputs 5 A; full-scale 100 A (Ith = 200 A) (withdrawn)</v>
      </c>
      <c r="I29" s="6">
        <v>5</v>
      </c>
      <c r="J29" s="6"/>
      <c r="K29" s="164" t="s">
        <v>107</v>
      </c>
      <c r="M29" s="164"/>
      <c r="N29" s="6"/>
      <c r="O29" s="6"/>
      <c r="P29" s="164"/>
      <c r="R29" s="164" t="str">
        <f>HLOOKUP(Language!$C$3,Language!$E$1:$Z516,41,FALSE)</f>
        <v>Voltage inputs 115 V / Current inputs 5 A; full-scale 100 A (Ith = 200 A) (withdrawn)</v>
      </c>
      <c r="S29" s="6">
        <v>5</v>
      </c>
      <c r="T29" s="6"/>
      <c r="U29" s="164" t="s">
        <v>107</v>
      </c>
      <c r="W29" s="235" t="str">
        <f>HLOOKUP(Language!$C$3,Language!$E$1:$Z516,41,FALSE)</f>
        <v>Voltage inputs 115 V / Current inputs 5 A; full-scale 100 A (Ith = 200 A) (withdrawn)</v>
      </c>
      <c r="X29" s="219">
        <v>5</v>
      </c>
      <c r="Y29" s="219"/>
      <c r="Z29" s="235" t="s">
        <v>107</v>
      </c>
      <c r="AB29" s="235" t="str">
        <f>HLOOKUP(Language!$C$3,Language!$E$1:$Z516,41,FALSE)</f>
        <v>Voltage inputs 115 V / Current inputs 5 A; full-scale 100 A (Ith = 200 A) (withdrawn)</v>
      </c>
      <c r="AC29" s="219">
        <v>5</v>
      </c>
      <c r="AD29" s="219"/>
      <c r="AE29" s="235" t="s">
        <v>107</v>
      </c>
      <c r="AG29" s="235" t="str">
        <f>HLOOKUP(Language!$C$3,Language!$E$1:$Z516,41,FALSE)</f>
        <v>Voltage inputs 115 V / Current inputs 5 A; full-scale 100 A (Ith = 200 A) (withdrawn)</v>
      </c>
      <c r="AH29" s="219">
        <v>5</v>
      </c>
      <c r="AI29" s="219"/>
      <c r="AJ29" s="235" t="s">
        <v>107</v>
      </c>
    </row>
    <row r="30" spans="1:36" x14ac:dyDescent="0.2">
      <c r="A30" s="12"/>
      <c r="C30" s="164" t="str">
        <f>HLOOKUP(Language!$C$3,Language!$E$1:$Z513,11,FALSE)</f>
        <v>5 A (PMU) / 115 V</v>
      </c>
      <c r="D30" s="6" t="s">
        <v>22</v>
      </c>
      <c r="E30" s="6"/>
      <c r="F30" s="167" t="s">
        <v>107</v>
      </c>
      <c r="G30" s="164"/>
      <c r="J30" s="6"/>
      <c r="K30" s="164" t="s">
        <v>107</v>
      </c>
      <c r="M30" s="164" t="str">
        <f>HLOOKUP(Language!$C$3,Language!$E$1:$Z512,42,FALSE)</f>
        <v>Voltage inputs 115 V / Current inputs 5 A; full-scale 14 A (Ith = 32 A) (withdrawn)</v>
      </c>
      <c r="N30" s="6" t="s">
        <v>22</v>
      </c>
      <c r="O30" s="6"/>
      <c r="P30" s="164" t="s">
        <v>107</v>
      </c>
      <c r="R30" s="164" t="str">
        <f>HLOOKUP(Language!$C$3,Language!$E$1:$Z517,53,FALSE)</f>
        <v>Voltage inputs 115 V / Current inputs 5 A; full-scale 200 A (Ith = 200 A)</v>
      </c>
      <c r="S30" s="6">
        <v>6</v>
      </c>
      <c r="T30" s="6"/>
      <c r="U30" s="164" t="s">
        <v>107</v>
      </c>
      <c r="W30" s="235" t="str">
        <f>HLOOKUP(Language!$C$3,Language!$E$1:$Z517,53,FALSE)</f>
        <v>Voltage inputs 115 V / Current inputs 5 A; full-scale 200 A (Ith = 200 A)</v>
      </c>
      <c r="X30" s="219">
        <v>6</v>
      </c>
      <c r="Y30" s="219"/>
      <c r="Z30" s="235" t="s">
        <v>107</v>
      </c>
      <c r="AB30" s="235" t="str">
        <f>HLOOKUP(Language!$C$3,Language!$E$1:$Z517,53,FALSE)</f>
        <v>Voltage inputs 115 V / Current inputs 5 A; full-scale 200 A (Ith = 200 A)</v>
      </c>
      <c r="AC30" s="219">
        <v>6</v>
      </c>
      <c r="AD30" s="219"/>
      <c r="AE30" s="235" t="s">
        <v>107</v>
      </c>
      <c r="AG30" s="235" t="str">
        <f>HLOOKUP(Language!$C$3,Language!$E$1:$Z517,53,FALSE)</f>
        <v>Voltage inputs 115 V / Current inputs 5 A; full-scale 200 A (Ith = 200 A)</v>
      </c>
      <c r="AH30" s="219">
        <v>6</v>
      </c>
      <c r="AI30" s="219"/>
      <c r="AJ30" s="235" t="s">
        <v>107</v>
      </c>
    </row>
    <row r="31" spans="1:36" x14ac:dyDescent="0.2">
      <c r="A31" s="12"/>
      <c r="C31" s="164"/>
      <c r="D31" s="6"/>
      <c r="E31" s="6"/>
      <c r="G31" s="164"/>
      <c r="H31" s="164" t="str">
        <f>HLOOKUP(Language!$C$3,Language!$E$1:$Z522,42,FALSE)</f>
        <v>Voltage inputs 115 V / Current inputs 5 A; full-scale 14 A (Ith = 32 A) (withdrawn)</v>
      </c>
      <c r="I31" s="6" t="s">
        <v>22</v>
      </c>
      <c r="J31" s="6"/>
      <c r="K31" s="164" t="s">
        <v>107</v>
      </c>
      <c r="M31" s="164"/>
      <c r="N31" s="6"/>
      <c r="O31" s="6"/>
      <c r="P31" s="164"/>
      <c r="R31" s="164" t="str">
        <f>HLOOKUP(Language!$C$3,Language!$E$1:$Z516,42,FALSE)</f>
        <v>Voltage inputs 115 V / Current inputs 5 A; full-scale 14 A (Ith = 32 A) (withdrawn)</v>
      </c>
      <c r="S31" s="6" t="s">
        <v>22</v>
      </c>
      <c r="T31" s="6"/>
      <c r="U31" s="164" t="s">
        <v>107</v>
      </c>
      <c r="W31" s="235" t="str">
        <f>HLOOKUP(Language!$C$3,Language!$E$1:$Z516,42,FALSE)</f>
        <v>Voltage inputs 115 V / Current inputs 5 A; full-scale 14 A (Ith = 32 A) (withdrawn)</v>
      </c>
      <c r="X31" s="219" t="s">
        <v>22</v>
      </c>
      <c r="Y31" s="219"/>
      <c r="Z31" s="235" t="s">
        <v>107</v>
      </c>
      <c r="AB31" s="235" t="str">
        <f>HLOOKUP(Language!$C$3,Language!$E$1:$Z516,42,FALSE)</f>
        <v>Voltage inputs 115 V / Current inputs 5 A; full-scale 14 A (Ith = 32 A) (withdrawn)</v>
      </c>
      <c r="AC31" s="219" t="s">
        <v>22</v>
      </c>
      <c r="AD31" s="219"/>
      <c r="AE31" s="235" t="s">
        <v>107</v>
      </c>
      <c r="AG31" s="235" t="str">
        <f>HLOOKUP(Language!$C$3,Language!$E$1:$Z516,42,FALSE)</f>
        <v>Voltage inputs 115 V / Current inputs 5 A; full-scale 14 A (Ith = 32 A) (withdrawn)</v>
      </c>
      <c r="AH31" s="219" t="s">
        <v>22</v>
      </c>
      <c r="AI31" s="219"/>
      <c r="AJ31" s="235" t="s">
        <v>107</v>
      </c>
    </row>
    <row r="32" spans="1:36" x14ac:dyDescent="0.2">
      <c r="A32" s="12"/>
      <c r="C32" s="164" t="str">
        <f>HLOOKUP(Language!$C$3,Language!$E$1:$Z513,12,FALSE)</f>
        <v>0-20 mA / ± 10 V</v>
      </c>
      <c r="D32" s="6" t="s">
        <v>23</v>
      </c>
      <c r="E32" s="6"/>
      <c r="F32" s="167" t="s">
        <v>107</v>
      </c>
      <c r="G32" s="164"/>
      <c r="H32" s="164" t="str">
        <f>HLOOKUP(Language!$C$3,Language!$E$1:$Z523,43,FALSE)</f>
        <v>Voltage inputs ±10 Vdc / Current inputs 0-20 mAdc</v>
      </c>
      <c r="I32" s="6" t="s">
        <v>23</v>
      </c>
      <c r="J32" s="6"/>
      <c r="K32" s="164" t="s">
        <v>107</v>
      </c>
      <c r="M32" s="164" t="str">
        <f>HLOOKUP(Language!$C$3,Language!$E$1:$Z512,43,FALSE)</f>
        <v>Voltage inputs ±10 Vdc / Current inputs 0-20 mAdc</v>
      </c>
      <c r="N32" s="6" t="s">
        <v>23</v>
      </c>
      <c r="O32" s="6"/>
      <c r="P32" s="164" t="s">
        <v>107</v>
      </c>
      <c r="R32" s="164" t="str">
        <f>HLOOKUP(Language!$C$3,Language!$E$1:$Z516,43,FALSE)</f>
        <v>Voltage inputs ±10 Vdc / Current inputs 0-20 mAdc</v>
      </c>
      <c r="S32" s="6" t="s">
        <v>23</v>
      </c>
      <c r="T32" s="6"/>
      <c r="U32" s="164" t="s">
        <v>107</v>
      </c>
      <c r="W32" s="235" t="str">
        <f>HLOOKUP(Language!$C$3,Language!$E$1:$Z516,43,FALSE)</f>
        <v>Voltage inputs ±10 Vdc / Current inputs 0-20 mAdc</v>
      </c>
      <c r="X32" s="219" t="s">
        <v>23</v>
      </c>
      <c r="Y32" s="219"/>
      <c r="Z32" s="235" t="s">
        <v>107</v>
      </c>
      <c r="AB32" s="235" t="str">
        <f>HLOOKUP(Language!$C$3,Language!$E$1:$Z516,43,FALSE)</f>
        <v>Voltage inputs ±10 Vdc / Current inputs 0-20 mAdc</v>
      </c>
      <c r="AC32" s="219" t="s">
        <v>23</v>
      </c>
      <c r="AD32" s="219"/>
      <c r="AE32" s="235" t="s">
        <v>107</v>
      </c>
      <c r="AG32" s="235" t="str">
        <f>HLOOKUP(Language!$C$3,Language!$E$1:$Z516,43,FALSE)</f>
        <v>Voltage inputs ±10 Vdc / Current inputs 0-20 mAdc</v>
      </c>
      <c r="AH32" s="219" t="s">
        <v>23</v>
      </c>
      <c r="AI32" s="219"/>
      <c r="AJ32" s="235" t="s">
        <v>107</v>
      </c>
    </row>
    <row r="33" spans="1:36" x14ac:dyDescent="0.2">
      <c r="A33" s="12"/>
      <c r="C33" s="164" t="str">
        <f>HLOOKUP(Language!$C$3,Language!$E$1:$Z514,13,FALSE)</f>
        <v>100 mA / 115 V</v>
      </c>
      <c r="D33" s="6" t="s">
        <v>24</v>
      </c>
      <c r="E33" s="6"/>
      <c r="F33" s="167" t="s">
        <v>107</v>
      </c>
      <c r="G33" s="164"/>
      <c r="H33" s="164" t="str">
        <f>HLOOKUP(Language!$C$3,Language!$E$1:$Z524,44,FALSE)</f>
        <v>Voltage inputs 115 V / Current inputs 100 mA; full-scale 100 mA (Ith = 2 A)</v>
      </c>
      <c r="I33" s="6" t="s">
        <v>24</v>
      </c>
      <c r="J33" s="6"/>
      <c r="K33" s="164" t="s">
        <v>107</v>
      </c>
      <c r="M33" s="164" t="str">
        <f>HLOOKUP(Language!$C$3,Language!$E$1:$Z513,44,FALSE)</f>
        <v>Voltage inputs 115 V / Current inputs 100 mA; full-scale 100 mA (Ith = 2 A)</v>
      </c>
      <c r="N33" s="6" t="s">
        <v>24</v>
      </c>
      <c r="O33" s="6"/>
      <c r="P33" s="164" t="s">
        <v>107</v>
      </c>
      <c r="R33" s="164" t="str">
        <f>HLOOKUP(Language!$C$3,Language!$E$1:$Z517,44,FALSE)</f>
        <v>Voltage inputs 115 V / Current inputs 100 mA; full-scale 100 mA (Ith = 2 A)</v>
      </c>
      <c r="S33" s="6" t="s">
        <v>24</v>
      </c>
      <c r="T33" s="6"/>
      <c r="U33" s="164" t="s">
        <v>107</v>
      </c>
      <c r="W33" s="235" t="str">
        <f>HLOOKUP(Language!$C$3,Language!$E$1:$Z517,44,FALSE)</f>
        <v>Voltage inputs 115 V / Current inputs 100 mA; full-scale 100 mA (Ith = 2 A)</v>
      </c>
      <c r="X33" s="219" t="s">
        <v>24</v>
      </c>
      <c r="Y33" s="219"/>
      <c r="Z33" s="235" t="s">
        <v>107</v>
      </c>
      <c r="AB33" s="235" t="str">
        <f>HLOOKUP(Language!$C$3,Language!$E$1:$Z517,44,FALSE)</f>
        <v>Voltage inputs 115 V / Current inputs 100 mA; full-scale 100 mA (Ith = 2 A)</v>
      </c>
      <c r="AC33" s="219" t="s">
        <v>24</v>
      </c>
      <c r="AD33" s="219"/>
      <c r="AE33" s="235" t="s">
        <v>107</v>
      </c>
      <c r="AG33" s="235" t="str">
        <f>HLOOKUP(Language!$C$3,Language!$E$1:$Z517,44,FALSE)</f>
        <v>Voltage inputs 115 V / Current inputs 100 mA; full-scale 100 mA (Ith = 2 A)</v>
      </c>
      <c r="AH33" s="219" t="s">
        <v>24</v>
      </c>
      <c r="AI33" s="219"/>
      <c r="AJ33" s="235" t="s">
        <v>107</v>
      </c>
    </row>
    <row r="34" spans="1:36" x14ac:dyDescent="0.2">
      <c r="A34" s="12"/>
      <c r="C34" s="164" t="str">
        <f>HLOOKUP(Language!$C$3,Language!$E$1:$Z515,14,FALSE)</f>
        <v>Not installed</v>
      </c>
      <c r="D34" s="6" t="s">
        <v>11</v>
      </c>
      <c r="E34" s="8"/>
      <c r="F34" s="166" t="s">
        <v>107</v>
      </c>
      <c r="G34" s="8"/>
      <c r="H34" s="164" t="str">
        <f>HLOOKUP(Language!$C$3,Language!$E$1:$Z525,14,FALSE)</f>
        <v>Not installed</v>
      </c>
      <c r="I34" s="6" t="s">
        <v>11</v>
      </c>
      <c r="J34" s="8"/>
      <c r="K34" s="8" t="s">
        <v>107</v>
      </c>
      <c r="M34" s="164" t="str">
        <f>HLOOKUP(Language!$C$3,Language!$E$1:$Z515,14,FALSE)</f>
        <v>Not installed</v>
      </c>
      <c r="N34" s="6" t="s">
        <v>11</v>
      </c>
      <c r="O34" s="8"/>
      <c r="P34" s="8" t="s">
        <v>107</v>
      </c>
      <c r="R34" s="164" t="str">
        <f>HLOOKUP(Language!$C$3,Language!$E$1:$Z518,14,FALSE)</f>
        <v>Not installed</v>
      </c>
      <c r="S34" s="6" t="s">
        <v>11</v>
      </c>
      <c r="T34" s="8"/>
      <c r="U34" s="8" t="s">
        <v>107</v>
      </c>
      <c r="W34" s="235" t="str">
        <f>HLOOKUP(Language!$C$3,Language!$E$1:$Z518,14,FALSE)</f>
        <v>Not installed</v>
      </c>
      <c r="X34" s="219" t="s">
        <v>11</v>
      </c>
      <c r="Y34" s="221"/>
      <c r="Z34" s="221" t="s">
        <v>107</v>
      </c>
      <c r="AB34" s="235" t="str">
        <f>HLOOKUP(Language!$C$3,Language!$E$1:$Z518,14,FALSE)</f>
        <v>Not installed</v>
      </c>
      <c r="AC34" s="219" t="s">
        <v>11</v>
      </c>
      <c r="AD34" s="244"/>
      <c r="AE34" s="244" t="s">
        <v>107</v>
      </c>
      <c r="AG34" s="235" t="str">
        <f>HLOOKUP(Language!$C$3,Language!$E$1:$Z518,14,FALSE)</f>
        <v>Not installed</v>
      </c>
      <c r="AH34" s="219" t="s">
        <v>11</v>
      </c>
      <c r="AI34" s="244"/>
      <c r="AJ34" s="244" t="s">
        <v>107</v>
      </c>
    </row>
    <row r="35" spans="1:36" x14ac:dyDescent="0.2">
      <c r="A35" s="20"/>
      <c r="C35" s="171"/>
      <c r="D35" s="6"/>
      <c r="E35" s="6"/>
      <c r="G35" s="164"/>
      <c r="H35" s="171"/>
      <c r="I35" s="6"/>
      <c r="J35" s="6"/>
      <c r="K35" s="164"/>
      <c r="M35" s="171"/>
      <c r="N35" s="6"/>
      <c r="O35" s="6"/>
      <c r="P35" s="164"/>
      <c r="R35" s="171"/>
      <c r="S35" s="6"/>
      <c r="T35" s="6"/>
      <c r="U35" s="164"/>
      <c r="W35" s="238"/>
      <c r="X35" s="219"/>
      <c r="Y35" s="219"/>
      <c r="Z35" s="235"/>
      <c r="AB35" s="238"/>
      <c r="AC35" s="219"/>
      <c r="AD35" s="219"/>
      <c r="AE35" s="235"/>
      <c r="AG35" s="238"/>
      <c r="AH35" s="219"/>
      <c r="AI35" s="219"/>
      <c r="AJ35" s="235"/>
    </row>
    <row r="36" spans="1:36" x14ac:dyDescent="0.2">
      <c r="A36" s="11">
        <v>5</v>
      </c>
      <c r="B36" s="4" t="str">
        <f>HLOOKUP(Language!$C$3,Language!$E$1:$Z556,17,FALSE)</f>
        <v>Analogue Inputs 13 to 16</v>
      </c>
      <c r="C36" s="10" t="str">
        <f>HLOOKUP(Language!$C$3,Language!$E$1:$Z525,8,FALSE)</f>
        <v>1 A / 115 V</v>
      </c>
      <c r="D36" s="10">
        <v>1</v>
      </c>
      <c r="E36" s="11"/>
      <c r="F36" s="16" t="s">
        <v>107</v>
      </c>
      <c r="G36" s="12"/>
      <c r="H36" s="10" t="str">
        <f>HLOOKUP(Language!$C$3,Language!$E$1:$Z529,40,FALSE)</f>
        <v>Voltage inputs 115 V / Current inputs 1 A; full-scale 20 A (Ith = 40 A) (withdrawn)</v>
      </c>
      <c r="I36" s="10">
        <v>1</v>
      </c>
      <c r="J36" s="11"/>
      <c r="K36" s="11" t="s">
        <v>107</v>
      </c>
      <c r="M36" s="10" t="str">
        <f>HLOOKUP(Language!$C$3,Language!$E$1:$Z523,40,FALSE)</f>
        <v>Voltage inputs 115 V / Current inputs 1 A; full-scale 20 A (Ith = 40 A) (withdrawn)</v>
      </c>
      <c r="N36" s="10">
        <v>1</v>
      </c>
      <c r="O36" s="11"/>
      <c r="P36" s="11" t="s">
        <v>107</v>
      </c>
      <c r="R36" s="10" t="str">
        <f>HLOOKUP(Language!$C$3,Language!$E$1:$Z529,40,FALSE)</f>
        <v>Voltage inputs 115 V / Current inputs 1 A; full-scale 20 A (Ith = 40 A) (withdrawn)</v>
      </c>
      <c r="S36" s="10">
        <v>1</v>
      </c>
      <c r="T36" s="11"/>
      <c r="U36" s="11" t="s">
        <v>107</v>
      </c>
      <c r="W36" s="222" t="str">
        <f>HLOOKUP(Language!$C$3,Language!$E$1:$Z529,40,FALSE)</f>
        <v>Voltage inputs 115 V / Current inputs 1 A; full-scale 20 A (Ith = 40 A) (withdrawn)</v>
      </c>
      <c r="X36" s="222">
        <v>1</v>
      </c>
      <c r="Y36" s="223"/>
      <c r="Z36" s="223" t="s">
        <v>107</v>
      </c>
      <c r="AB36" s="222" t="str">
        <f>HLOOKUP(Language!$C$3,Language!$E$1:$Z529,40,FALSE)</f>
        <v>Voltage inputs 115 V / Current inputs 1 A; full-scale 20 A (Ith = 40 A) (withdrawn)</v>
      </c>
      <c r="AC36" s="222">
        <v>1</v>
      </c>
      <c r="AD36" s="223"/>
      <c r="AE36" s="223" t="s">
        <v>107</v>
      </c>
      <c r="AG36" s="222" t="str">
        <f>HLOOKUP(Language!$C$3,Language!$E$1:$Z529,40,FALSE)</f>
        <v>Voltage inputs 115 V / Current inputs 1 A; full-scale 20 A (Ith = 40 A) (withdrawn)</v>
      </c>
      <c r="AH36" s="222">
        <v>1</v>
      </c>
      <c r="AI36" s="223"/>
      <c r="AJ36" s="223" t="s">
        <v>107</v>
      </c>
    </row>
    <row r="37" spans="1:36" x14ac:dyDescent="0.2">
      <c r="A37" s="12"/>
      <c r="B37" s="24"/>
      <c r="C37" s="164"/>
      <c r="D37" s="6"/>
      <c r="E37" s="14"/>
      <c r="F37" s="169"/>
      <c r="G37" s="12"/>
      <c r="J37" s="14"/>
      <c r="K37" s="12" t="s">
        <v>107</v>
      </c>
      <c r="M37" s="164"/>
      <c r="N37" s="6"/>
      <c r="O37" s="14"/>
      <c r="P37" s="12"/>
      <c r="R37" s="164" t="str">
        <f>HLOOKUP(Language!$C$3,Language!$E$1:$Z530,52,FALSE)</f>
        <v>Voltage inputs 115 V / Current inputs 1 A; full-scale 40 A (Ith = 100 A)</v>
      </c>
      <c r="S37" s="6">
        <v>2</v>
      </c>
      <c r="T37" s="14"/>
      <c r="U37" s="12"/>
      <c r="W37" s="235" t="str">
        <f>HLOOKUP(Language!$C$3,Language!$E$1:$Z530,52,FALSE)</f>
        <v>Voltage inputs 115 V / Current inputs 1 A; full-scale 40 A (Ith = 100 A)</v>
      </c>
      <c r="X37" s="219">
        <v>2</v>
      </c>
      <c r="Y37" s="226"/>
      <c r="Z37" s="224"/>
      <c r="AB37" s="235" t="str">
        <f>HLOOKUP(Language!$C$3,Language!$E$1:$Z530,52,FALSE)</f>
        <v>Voltage inputs 115 V / Current inputs 1 A; full-scale 40 A (Ith = 100 A)</v>
      </c>
      <c r="AC37" s="219">
        <v>2</v>
      </c>
      <c r="AD37" s="226"/>
      <c r="AE37" s="224"/>
      <c r="AG37" s="235" t="str">
        <f>HLOOKUP(Language!$C$3,Language!$E$1:$Z530,52,FALSE)</f>
        <v>Voltage inputs 115 V / Current inputs 1 A; full-scale 40 A (Ith = 100 A)</v>
      </c>
      <c r="AH37" s="219">
        <v>2</v>
      </c>
      <c r="AI37" s="226"/>
      <c r="AJ37" s="224"/>
    </row>
    <row r="38" spans="1:36" x14ac:dyDescent="0.2">
      <c r="A38" s="12"/>
      <c r="B38" s="24"/>
      <c r="C38" s="164" t="str">
        <f>HLOOKUP(Language!$C$3,Language!$E$1:$Z521,10,FALSE)</f>
        <v>5 A / 115 V</v>
      </c>
      <c r="D38" s="6">
        <v>5</v>
      </c>
      <c r="E38" s="14"/>
      <c r="F38" s="169" t="s">
        <v>107</v>
      </c>
      <c r="G38" s="12"/>
      <c r="H38" s="164" t="str">
        <f>HLOOKUP(Language!$C$3,Language!$E$1:$Z530,41,FALSE)</f>
        <v>Voltage inputs 115 V / Current inputs 5 A; full-scale 100 A (Ith = 200 A) (withdrawn)</v>
      </c>
      <c r="I38" s="6">
        <v>5</v>
      </c>
      <c r="J38" s="14"/>
      <c r="K38" s="12" t="s">
        <v>107</v>
      </c>
      <c r="M38" s="164" t="str">
        <f>HLOOKUP(Language!$C$3,Language!$E$1:$Z519,41,FALSE)</f>
        <v>Voltage inputs 115 V / Current inputs 5 A; full-scale 100 A (Ith = 200 A) (withdrawn)</v>
      </c>
      <c r="N38" s="6">
        <v>5</v>
      </c>
      <c r="O38" s="14"/>
      <c r="P38" s="12" t="s">
        <v>107</v>
      </c>
      <c r="R38" s="164" t="str">
        <f>HLOOKUP(Language!$C$3,Language!$E$1:$Z525,41,FALSE)</f>
        <v>Voltage inputs 115 V / Current inputs 5 A; full-scale 100 A (Ith = 200 A) (withdrawn)</v>
      </c>
      <c r="S38" s="6">
        <v>5</v>
      </c>
      <c r="T38" s="14"/>
      <c r="U38" s="12" t="s">
        <v>107</v>
      </c>
      <c r="W38" s="235" t="str">
        <f>HLOOKUP(Language!$C$3,Language!$E$1:$Z525,41,FALSE)</f>
        <v>Voltage inputs 115 V / Current inputs 5 A; full-scale 100 A (Ith = 200 A) (withdrawn)</v>
      </c>
      <c r="X38" s="219">
        <v>5</v>
      </c>
      <c r="Y38" s="226"/>
      <c r="Z38" s="224" t="s">
        <v>107</v>
      </c>
      <c r="AB38" s="235" t="str">
        <f>HLOOKUP(Language!$C$3,Language!$E$1:$Z525,41,FALSE)</f>
        <v>Voltage inputs 115 V / Current inputs 5 A; full-scale 100 A (Ith = 200 A) (withdrawn)</v>
      </c>
      <c r="AC38" s="219">
        <v>5</v>
      </c>
      <c r="AD38" s="226"/>
      <c r="AE38" s="224" t="s">
        <v>107</v>
      </c>
      <c r="AG38" s="235" t="str">
        <f>HLOOKUP(Language!$C$3,Language!$E$1:$Z525,41,FALSE)</f>
        <v>Voltage inputs 115 V / Current inputs 5 A; full-scale 100 A (Ith = 200 A) (withdrawn)</v>
      </c>
      <c r="AH38" s="219">
        <v>5</v>
      </c>
      <c r="AI38" s="226"/>
      <c r="AJ38" s="224" t="s">
        <v>107</v>
      </c>
    </row>
    <row r="39" spans="1:36" x14ac:dyDescent="0.2">
      <c r="A39" s="12"/>
      <c r="B39" s="24"/>
      <c r="C39" s="164"/>
      <c r="D39" s="6"/>
      <c r="E39" s="14"/>
      <c r="F39" s="169"/>
      <c r="G39" s="12"/>
      <c r="J39" s="14"/>
      <c r="K39" s="12" t="s">
        <v>107</v>
      </c>
      <c r="M39" s="164"/>
      <c r="N39" s="6"/>
      <c r="O39" s="14"/>
      <c r="P39" s="12"/>
      <c r="R39" s="164" t="str">
        <f>HLOOKUP(Language!$C$3,Language!$E$1:$Z526,53,FALSE)</f>
        <v>Voltage inputs 115 V / Current inputs 5 A; full-scale 200 A (Ith = 200 A)</v>
      </c>
      <c r="S39" s="6">
        <v>6</v>
      </c>
      <c r="T39" s="14"/>
      <c r="U39" s="12"/>
      <c r="W39" s="235" t="str">
        <f>HLOOKUP(Language!$C$3,Language!$E$1:$Z526,53,FALSE)</f>
        <v>Voltage inputs 115 V / Current inputs 5 A; full-scale 200 A (Ith = 200 A)</v>
      </c>
      <c r="X39" s="219">
        <v>6</v>
      </c>
      <c r="Y39" s="226"/>
      <c r="Z39" s="224"/>
      <c r="AB39" s="235" t="str">
        <f>HLOOKUP(Language!$C$3,Language!$E$1:$Z526,53,FALSE)</f>
        <v>Voltage inputs 115 V / Current inputs 5 A; full-scale 200 A (Ith = 200 A)</v>
      </c>
      <c r="AC39" s="219">
        <v>6</v>
      </c>
      <c r="AD39" s="226"/>
      <c r="AE39" s="224"/>
      <c r="AG39" s="235" t="str">
        <f>HLOOKUP(Language!$C$3,Language!$E$1:$Z526,53,FALSE)</f>
        <v>Voltage inputs 115 V / Current inputs 5 A; full-scale 200 A (Ith = 200 A)</v>
      </c>
      <c r="AH39" s="219">
        <v>6</v>
      </c>
      <c r="AI39" s="226"/>
      <c r="AJ39" s="224"/>
    </row>
    <row r="40" spans="1:36" x14ac:dyDescent="0.2">
      <c r="A40" s="12"/>
      <c r="B40" s="24"/>
      <c r="C40" s="164" t="str">
        <f>HLOOKUP(Language!$C$3,Language!$E$1:$Z521,11,FALSE)</f>
        <v>5 A (PMU) / 115 V</v>
      </c>
      <c r="D40" s="6" t="s">
        <v>22</v>
      </c>
      <c r="E40" s="14"/>
      <c r="F40" s="169" t="s">
        <v>107</v>
      </c>
      <c r="G40" s="12"/>
      <c r="H40" s="164" t="str">
        <f>HLOOKUP(Language!$C$3,Language!$E$1:$Z531,42,FALSE)</f>
        <v>Voltage inputs 115 V / Current inputs 5 A; full-scale 14 A (Ith = 32 A) (withdrawn)</v>
      </c>
      <c r="I40" s="6" t="s">
        <v>22</v>
      </c>
      <c r="J40" s="14"/>
      <c r="K40" s="12" t="s">
        <v>107</v>
      </c>
      <c r="M40" s="164" t="str">
        <f>HLOOKUP(Language!$C$3,Language!$E$1:$Z519,42,FALSE)</f>
        <v>Voltage inputs 115 V / Current inputs 5 A; full-scale 14 A (Ith = 32 A) (withdrawn)</v>
      </c>
      <c r="N40" s="6" t="s">
        <v>22</v>
      </c>
      <c r="O40" s="14"/>
      <c r="P40" s="12" t="s">
        <v>107</v>
      </c>
      <c r="R40" s="164" t="str">
        <f>HLOOKUP(Language!$C$3,Language!$E$1:$Z525,42,FALSE)</f>
        <v>Voltage inputs 115 V / Current inputs 5 A; full-scale 14 A (Ith = 32 A) (withdrawn)</v>
      </c>
      <c r="S40" s="6" t="s">
        <v>22</v>
      </c>
      <c r="T40" s="14"/>
      <c r="U40" s="12" t="s">
        <v>107</v>
      </c>
      <c r="W40" s="235" t="str">
        <f>HLOOKUP(Language!$C$3,Language!$E$1:$Z525,42,FALSE)</f>
        <v>Voltage inputs 115 V / Current inputs 5 A; full-scale 14 A (Ith = 32 A) (withdrawn)</v>
      </c>
      <c r="X40" s="219" t="s">
        <v>22</v>
      </c>
      <c r="Y40" s="226"/>
      <c r="Z40" s="224" t="s">
        <v>107</v>
      </c>
      <c r="AB40" s="235" t="str">
        <f>HLOOKUP(Language!$C$3,Language!$E$1:$Z525,42,FALSE)</f>
        <v>Voltage inputs 115 V / Current inputs 5 A; full-scale 14 A (Ith = 32 A) (withdrawn)</v>
      </c>
      <c r="AC40" s="219" t="s">
        <v>22</v>
      </c>
      <c r="AD40" s="226"/>
      <c r="AE40" s="224" t="s">
        <v>107</v>
      </c>
      <c r="AG40" s="235" t="str">
        <f>HLOOKUP(Language!$C$3,Language!$E$1:$Z525,42,FALSE)</f>
        <v>Voltage inputs 115 V / Current inputs 5 A; full-scale 14 A (Ith = 32 A) (withdrawn)</v>
      </c>
      <c r="AH40" s="219" t="s">
        <v>22</v>
      </c>
      <c r="AI40" s="226"/>
      <c r="AJ40" s="224" t="s">
        <v>107</v>
      </c>
    </row>
    <row r="41" spans="1:36" x14ac:dyDescent="0.2">
      <c r="A41" s="12"/>
      <c r="B41" s="24"/>
      <c r="C41" s="164" t="str">
        <f>HLOOKUP(Language!$C$3,Language!$E$1:$Z521,12,FALSE)</f>
        <v>0-20 mA / ± 10 V</v>
      </c>
      <c r="D41" s="6" t="s">
        <v>23</v>
      </c>
      <c r="E41" s="14"/>
      <c r="F41" s="169" t="s">
        <v>107</v>
      </c>
      <c r="G41" s="12"/>
      <c r="H41" s="164" t="str">
        <f>HLOOKUP(Language!$C$3,Language!$E$1:$Z532,43,FALSE)</f>
        <v>Voltage inputs ±10 Vdc / Current inputs 0-20 mAdc</v>
      </c>
      <c r="I41" s="6" t="s">
        <v>23</v>
      </c>
      <c r="J41" s="14"/>
      <c r="K41" s="12" t="s">
        <v>107</v>
      </c>
      <c r="M41" s="164" t="str">
        <f>HLOOKUP(Language!$C$3,Language!$E$1:$Z519,43,FALSE)</f>
        <v>Voltage inputs ±10 Vdc / Current inputs 0-20 mAdc</v>
      </c>
      <c r="N41" s="6" t="s">
        <v>23</v>
      </c>
      <c r="O41" s="14"/>
      <c r="P41" s="12" t="s">
        <v>107</v>
      </c>
      <c r="R41" s="164" t="str">
        <f>HLOOKUP(Language!$C$3,Language!$E$1:$Z525,43,FALSE)</f>
        <v>Voltage inputs ±10 Vdc / Current inputs 0-20 mAdc</v>
      </c>
      <c r="S41" s="6" t="s">
        <v>23</v>
      </c>
      <c r="T41" s="14"/>
      <c r="U41" s="12" t="s">
        <v>107</v>
      </c>
      <c r="W41" s="235" t="str">
        <f>HLOOKUP(Language!$C$3,Language!$E$1:$Z525,43,FALSE)</f>
        <v>Voltage inputs ±10 Vdc / Current inputs 0-20 mAdc</v>
      </c>
      <c r="X41" s="219" t="s">
        <v>23</v>
      </c>
      <c r="Y41" s="226"/>
      <c r="Z41" s="224" t="s">
        <v>107</v>
      </c>
      <c r="AB41" s="235" t="str">
        <f>HLOOKUP(Language!$C$3,Language!$E$1:$Z525,43,FALSE)</f>
        <v>Voltage inputs ±10 Vdc / Current inputs 0-20 mAdc</v>
      </c>
      <c r="AC41" s="219" t="s">
        <v>23</v>
      </c>
      <c r="AD41" s="226"/>
      <c r="AE41" s="224" t="s">
        <v>107</v>
      </c>
      <c r="AG41" s="235" t="str">
        <f>HLOOKUP(Language!$C$3,Language!$E$1:$Z525,43,FALSE)</f>
        <v>Voltage inputs ±10 Vdc / Current inputs 0-20 mAdc</v>
      </c>
      <c r="AH41" s="219" t="s">
        <v>23</v>
      </c>
      <c r="AI41" s="226"/>
      <c r="AJ41" s="224" t="s">
        <v>107</v>
      </c>
    </row>
    <row r="42" spans="1:36" x14ac:dyDescent="0.2">
      <c r="A42" s="12"/>
      <c r="B42" s="24"/>
      <c r="C42" s="164" t="str">
        <f>HLOOKUP(Language!$C$3,Language!$E$1:$Z522,13,FALSE)</f>
        <v>100 mA / 115 V</v>
      </c>
      <c r="D42" s="6" t="s">
        <v>24</v>
      </c>
      <c r="E42" s="14"/>
      <c r="F42" s="169" t="s">
        <v>107</v>
      </c>
      <c r="G42" s="12"/>
      <c r="H42" s="164" t="str">
        <f>HLOOKUP(Language!$C$3,Language!$E$1:$Z533,44,FALSE)</f>
        <v>Voltage inputs 115 V / Current inputs 100 mA; full-scale 100 mA (Ith = 2 A)</v>
      </c>
      <c r="I42" s="6" t="s">
        <v>24</v>
      </c>
      <c r="J42" s="14"/>
      <c r="K42" s="12" t="s">
        <v>107</v>
      </c>
      <c r="M42" s="164" t="str">
        <f>HLOOKUP(Language!$C$3,Language!$E$1:$Z520,44,FALSE)</f>
        <v>Voltage inputs 115 V / Current inputs 100 mA; full-scale 100 mA (Ith = 2 A)</v>
      </c>
      <c r="N42" s="6" t="s">
        <v>24</v>
      </c>
      <c r="O42" s="14"/>
      <c r="P42" s="12" t="s">
        <v>107</v>
      </c>
      <c r="R42" s="164" t="str">
        <f>HLOOKUP(Language!$C$3,Language!$E$1:$Z526,44,FALSE)</f>
        <v>Voltage inputs 115 V / Current inputs 100 mA; full-scale 100 mA (Ith = 2 A)</v>
      </c>
      <c r="S42" s="6" t="s">
        <v>24</v>
      </c>
      <c r="T42" s="14"/>
      <c r="U42" s="12" t="s">
        <v>107</v>
      </c>
      <c r="W42" s="235" t="str">
        <f>HLOOKUP(Language!$C$3,Language!$E$1:$Z526,44,FALSE)</f>
        <v>Voltage inputs 115 V / Current inputs 100 mA; full-scale 100 mA (Ith = 2 A)</v>
      </c>
      <c r="X42" s="219" t="s">
        <v>24</v>
      </c>
      <c r="Y42" s="226"/>
      <c r="Z42" s="224" t="s">
        <v>107</v>
      </c>
      <c r="AB42" s="235" t="str">
        <f>HLOOKUP(Language!$C$3,Language!$E$1:$Z526,44,FALSE)</f>
        <v>Voltage inputs 115 V / Current inputs 100 mA; full-scale 100 mA (Ith = 2 A)</v>
      </c>
      <c r="AC42" s="219" t="s">
        <v>24</v>
      </c>
      <c r="AD42" s="226"/>
      <c r="AE42" s="224" t="s">
        <v>107</v>
      </c>
      <c r="AG42" s="235" t="str">
        <f>HLOOKUP(Language!$C$3,Language!$E$1:$Z526,44,FALSE)</f>
        <v>Voltage inputs 115 V / Current inputs 100 mA; full-scale 100 mA (Ith = 2 A)</v>
      </c>
      <c r="AH42" s="219" t="s">
        <v>24</v>
      </c>
      <c r="AI42" s="226"/>
      <c r="AJ42" s="224" t="s">
        <v>107</v>
      </c>
    </row>
    <row r="43" spans="1:36" x14ac:dyDescent="0.2">
      <c r="A43" s="12"/>
      <c r="B43" s="24"/>
      <c r="C43" s="164" t="str">
        <f>HLOOKUP(Language!$C$3,Language!$E$1:$Z523,14,FALSE)</f>
        <v>Not installed</v>
      </c>
      <c r="D43" s="6" t="s">
        <v>11</v>
      </c>
      <c r="E43" s="14"/>
      <c r="F43" s="169" t="s">
        <v>107</v>
      </c>
      <c r="G43" s="12"/>
      <c r="H43" s="164" t="str">
        <f>HLOOKUP(Language!$C$3,Language!$E$1:$Z534,14,FALSE)</f>
        <v>Not installed</v>
      </c>
      <c r="I43" s="6" t="s">
        <v>11</v>
      </c>
      <c r="J43" s="14"/>
      <c r="K43" s="12" t="s">
        <v>107</v>
      </c>
      <c r="M43" s="164" t="str">
        <f>HLOOKUP(Language!$C$3,Language!$E$1:$Z523,14,FALSE)</f>
        <v>Not installed</v>
      </c>
      <c r="N43" s="6" t="s">
        <v>11</v>
      </c>
      <c r="O43" s="14"/>
      <c r="P43" s="12" t="s">
        <v>107</v>
      </c>
      <c r="R43" s="164" t="str">
        <f>HLOOKUP(Language!$C$3,Language!$E$1:$Z527,14,FALSE)</f>
        <v>Not installed</v>
      </c>
      <c r="S43" s="6" t="s">
        <v>11</v>
      </c>
      <c r="T43" s="14"/>
      <c r="U43" s="12" t="s">
        <v>107</v>
      </c>
      <c r="W43" s="235" t="str">
        <f>HLOOKUP(Language!$C$3,Language!$E$1:$Z527,14,FALSE)</f>
        <v>Not installed</v>
      </c>
      <c r="X43" s="219" t="s">
        <v>11</v>
      </c>
      <c r="Y43" s="226"/>
      <c r="Z43" s="224" t="s">
        <v>107</v>
      </c>
      <c r="AB43" s="235" t="str">
        <f>HLOOKUP(Language!$C$3,Language!$E$1:$Z527,14,FALSE)</f>
        <v>Not installed</v>
      </c>
      <c r="AC43" s="219" t="s">
        <v>11</v>
      </c>
      <c r="AD43" s="226"/>
      <c r="AE43" s="224" t="s">
        <v>107</v>
      </c>
      <c r="AG43" s="235" t="str">
        <f>HLOOKUP(Language!$C$3,Language!$E$1:$Z527,14,FALSE)</f>
        <v>Not installed</v>
      </c>
      <c r="AH43" s="219" t="s">
        <v>11</v>
      </c>
      <c r="AI43" s="226"/>
      <c r="AJ43" s="224" t="s">
        <v>107</v>
      </c>
    </row>
    <row r="44" spans="1:36" x14ac:dyDescent="0.2">
      <c r="A44" s="20"/>
      <c r="C44" s="171"/>
      <c r="D44" s="6"/>
      <c r="E44" s="6"/>
      <c r="G44" s="164"/>
      <c r="H44" s="171"/>
      <c r="I44" s="6"/>
      <c r="J44" s="6"/>
      <c r="K44" s="164"/>
      <c r="M44" s="171"/>
      <c r="N44" s="6"/>
      <c r="O44" s="6"/>
      <c r="P44" s="164"/>
      <c r="R44" s="171"/>
      <c r="S44" s="6"/>
      <c r="T44" s="6"/>
      <c r="U44" s="164"/>
      <c r="W44" s="238"/>
      <c r="X44" s="219"/>
      <c r="Y44" s="219"/>
      <c r="Z44" s="235"/>
      <c r="AB44" s="238"/>
      <c r="AC44" s="219"/>
      <c r="AD44" s="219"/>
      <c r="AE44" s="235"/>
      <c r="AG44" s="238"/>
      <c r="AH44" s="219"/>
      <c r="AI44" s="219"/>
      <c r="AJ44" s="235"/>
    </row>
    <row r="45" spans="1:36" x14ac:dyDescent="0.2">
      <c r="A45" s="11">
        <v>6</v>
      </c>
      <c r="B45" s="4" t="str">
        <f>HLOOKUP(Language!$C$3,Language!$E$1:$Z566,18,FALSE)</f>
        <v>Digital Inputs 1 to 16</v>
      </c>
      <c r="C45" s="11" t="str">
        <f>HLOOKUP(Language!$C$3,Language!$E$1:$Z532,19,FALSE)</f>
        <v>24 V / 48 V</v>
      </c>
      <c r="D45" s="11">
        <v>1</v>
      </c>
      <c r="E45" s="11"/>
      <c r="F45" s="16" t="s">
        <v>107</v>
      </c>
      <c r="G45" s="12"/>
      <c r="H45" s="11" t="str">
        <f>HLOOKUP(Language!$C$3,Language!$E$1:$Z532,19,FALSE)</f>
        <v>24 V / 48 V</v>
      </c>
      <c r="I45" s="11">
        <v>1</v>
      </c>
      <c r="J45" s="11"/>
      <c r="K45" s="11" t="s">
        <v>107</v>
      </c>
      <c r="M45" s="11" t="str">
        <f>HLOOKUP(Language!$C$3,Language!$E$1:$Z532,19,FALSE)</f>
        <v>24 V / 48 V</v>
      </c>
      <c r="N45" s="11">
        <v>1</v>
      </c>
      <c r="O45" s="11"/>
      <c r="P45" s="11" t="s">
        <v>107</v>
      </c>
      <c r="R45" s="11" t="str">
        <f>HLOOKUP(Language!$C$3,Language!$E$1:$Z532,19,FALSE)</f>
        <v>24 V / 48 V</v>
      </c>
      <c r="S45" s="11">
        <v>1</v>
      </c>
      <c r="T45" s="11"/>
      <c r="U45" s="11" t="s">
        <v>107</v>
      </c>
      <c r="W45" s="223" t="str">
        <f>HLOOKUP(Language!$C$3,Language!$E$1:$Z532,19,FALSE)</f>
        <v>24 V / 48 V</v>
      </c>
      <c r="X45" s="223">
        <v>1</v>
      </c>
      <c r="Y45" s="223"/>
      <c r="Z45" s="223" t="s">
        <v>107</v>
      </c>
      <c r="AB45" s="223" t="str">
        <f>HLOOKUP(Language!$C$3,Language!$E$1:$Z532,19,FALSE)</f>
        <v>24 V / 48 V</v>
      </c>
      <c r="AC45" s="223">
        <v>1</v>
      </c>
      <c r="AD45" s="223"/>
      <c r="AE45" s="223" t="s">
        <v>107</v>
      </c>
      <c r="AG45" s="223" t="str">
        <f>HLOOKUP(Language!$C$3,Language!$E$1:$Z532,19,FALSE)</f>
        <v>24 V / 48 V</v>
      </c>
      <c r="AH45" s="223">
        <v>1</v>
      </c>
      <c r="AI45" s="223"/>
      <c r="AJ45" s="223" t="s">
        <v>107</v>
      </c>
    </row>
    <row r="46" spans="1:36" x14ac:dyDescent="0.2">
      <c r="A46" s="12"/>
      <c r="C46" s="12" t="str">
        <f>HLOOKUP(Language!$C$3,Language!$E$1:$Z532,20,FALSE)</f>
        <v>125 V</v>
      </c>
      <c r="D46" s="14">
        <v>2</v>
      </c>
      <c r="E46" s="14"/>
      <c r="F46" s="169" t="s">
        <v>107</v>
      </c>
      <c r="G46" s="12"/>
      <c r="H46" s="12" t="str">
        <f>HLOOKUP(Language!$C$3,Language!$E$1:$Z532,20,FALSE)</f>
        <v>125 V</v>
      </c>
      <c r="I46" s="14">
        <v>2</v>
      </c>
      <c r="J46" s="14"/>
      <c r="K46" s="12" t="s">
        <v>107</v>
      </c>
      <c r="M46" s="12" t="str">
        <f>HLOOKUP(Language!$C$3,Language!$E$1:$Z532,20,FALSE)</f>
        <v>125 V</v>
      </c>
      <c r="N46" s="14">
        <v>2</v>
      </c>
      <c r="O46" s="14"/>
      <c r="P46" s="12" t="s">
        <v>107</v>
      </c>
      <c r="R46" s="12" t="str">
        <f>HLOOKUP(Language!$C$3,Language!$E$1:$Z532,20,FALSE)</f>
        <v>125 V</v>
      </c>
      <c r="S46" s="14">
        <v>2</v>
      </c>
      <c r="T46" s="14"/>
      <c r="U46" s="12" t="s">
        <v>107</v>
      </c>
      <c r="W46" s="224" t="str">
        <f>HLOOKUP(Language!$C$3,Language!$E$1:$Z532,20,FALSE)</f>
        <v>125 V</v>
      </c>
      <c r="X46" s="226">
        <v>2</v>
      </c>
      <c r="Y46" s="226"/>
      <c r="Z46" s="224" t="s">
        <v>107</v>
      </c>
      <c r="AB46" s="224" t="str">
        <f>HLOOKUP(Language!$C$3,Language!$E$1:$Z532,20,FALSE)</f>
        <v>125 V</v>
      </c>
      <c r="AC46" s="226">
        <v>2</v>
      </c>
      <c r="AD46" s="226"/>
      <c r="AE46" s="224" t="s">
        <v>107</v>
      </c>
      <c r="AG46" s="224" t="str">
        <f>HLOOKUP(Language!$C$3,Language!$E$1:$Z532,20,FALSE)</f>
        <v>125 V</v>
      </c>
      <c r="AH46" s="226">
        <v>2</v>
      </c>
      <c r="AI46" s="226"/>
      <c r="AJ46" s="224" t="s">
        <v>107</v>
      </c>
    </row>
    <row r="47" spans="1:36" x14ac:dyDescent="0.2">
      <c r="A47" s="12"/>
      <c r="C47" s="12" t="str">
        <f>HLOOKUP(Language!$C$3,Language!$E$1:$Z532,21,FALSE)</f>
        <v>250 V</v>
      </c>
      <c r="D47" s="14">
        <v>3</v>
      </c>
      <c r="E47" s="14"/>
      <c r="F47" s="169" t="s">
        <v>107</v>
      </c>
      <c r="G47" s="12"/>
      <c r="H47" s="12" t="str">
        <f>HLOOKUP(Language!$C$3,Language!$E$1:$Z532,21,FALSE)</f>
        <v>250 V</v>
      </c>
      <c r="I47" s="14">
        <v>3</v>
      </c>
      <c r="J47" s="14"/>
      <c r="K47" s="12" t="s">
        <v>107</v>
      </c>
      <c r="M47" s="12" t="str">
        <f>HLOOKUP(Language!$C$3,Language!$E$1:$Z532,21,FALSE)</f>
        <v>250 V</v>
      </c>
      <c r="N47" s="14">
        <v>3</v>
      </c>
      <c r="O47" s="14"/>
      <c r="P47" s="12" t="s">
        <v>107</v>
      </c>
      <c r="R47" s="12" t="str">
        <f>HLOOKUP(Language!$C$3,Language!$E$1:$Z532,21,FALSE)</f>
        <v>250 V</v>
      </c>
      <c r="S47" s="14">
        <v>3</v>
      </c>
      <c r="T47" s="14"/>
      <c r="U47" s="12" t="s">
        <v>107</v>
      </c>
      <c r="W47" s="224" t="str">
        <f>HLOOKUP(Language!$C$3,Language!$E$1:$Z532,21,FALSE)</f>
        <v>250 V</v>
      </c>
      <c r="X47" s="226">
        <v>3</v>
      </c>
      <c r="Y47" s="226"/>
      <c r="Z47" s="224" t="s">
        <v>107</v>
      </c>
      <c r="AB47" s="224" t="str">
        <f>HLOOKUP(Language!$C$3,Language!$E$1:$Z532,21,FALSE)</f>
        <v>250 V</v>
      </c>
      <c r="AC47" s="226">
        <v>3</v>
      </c>
      <c r="AD47" s="226"/>
      <c r="AE47" s="224" t="s">
        <v>107</v>
      </c>
      <c r="AG47" s="224" t="str">
        <f>HLOOKUP(Language!$C$3,Language!$E$1:$Z532,21,FALSE)</f>
        <v>250 V</v>
      </c>
      <c r="AH47" s="226">
        <v>3</v>
      </c>
      <c r="AI47" s="226"/>
      <c r="AJ47" s="224" t="s">
        <v>107</v>
      </c>
    </row>
    <row r="48" spans="1:36" x14ac:dyDescent="0.2">
      <c r="A48" s="12"/>
      <c r="C48" s="12" t="str">
        <f>HLOOKUP(Language!$C$3,Language!$E$1:$Z549,14,FALSE)</f>
        <v>Not installed</v>
      </c>
      <c r="D48" s="14" t="s">
        <v>11</v>
      </c>
      <c r="E48" s="14"/>
      <c r="F48" s="169" t="s">
        <v>107</v>
      </c>
      <c r="G48" s="12"/>
      <c r="H48" s="12" t="str">
        <f>HLOOKUP(Language!$C$3,Language!$E$1:$Z549,14,FALSE)</f>
        <v>Not installed</v>
      </c>
      <c r="I48" s="14" t="s">
        <v>11</v>
      </c>
      <c r="J48" s="14"/>
      <c r="K48" s="12" t="s">
        <v>107</v>
      </c>
      <c r="M48" s="12" t="str">
        <f>HLOOKUP(Language!$C$3,Language!$E$1:$Z549,14,FALSE)</f>
        <v>Not installed</v>
      </c>
      <c r="N48" s="14" t="s">
        <v>11</v>
      </c>
      <c r="O48" s="14"/>
      <c r="P48" s="12" t="s">
        <v>107</v>
      </c>
      <c r="R48" s="12" t="str">
        <f>HLOOKUP(Language!$C$3,Language!$E$1:$Z549,14,FALSE)</f>
        <v>Not installed</v>
      </c>
      <c r="S48" s="14" t="s">
        <v>11</v>
      </c>
      <c r="T48" s="14"/>
      <c r="U48" s="12" t="s">
        <v>107</v>
      </c>
      <c r="W48" s="224" t="str">
        <f>HLOOKUP(Language!$C$3,Language!$E$1:$Z549,14,FALSE)</f>
        <v>Not installed</v>
      </c>
      <c r="X48" s="226" t="s">
        <v>11</v>
      </c>
      <c r="Y48" s="226"/>
      <c r="Z48" s="224" t="s">
        <v>107</v>
      </c>
      <c r="AB48" s="224" t="str">
        <f>HLOOKUP(Language!$C$3,Language!$E$1:$Z549,14,FALSE)</f>
        <v>Not installed</v>
      </c>
      <c r="AC48" s="226" t="s">
        <v>11</v>
      </c>
      <c r="AD48" s="226"/>
      <c r="AE48" s="224" t="s">
        <v>107</v>
      </c>
      <c r="AG48" s="224" t="str">
        <f>HLOOKUP(Language!$C$3,Language!$E$1:$Z549,14,FALSE)</f>
        <v>Not installed</v>
      </c>
      <c r="AH48" s="226" t="s">
        <v>11</v>
      </c>
      <c r="AI48" s="226"/>
      <c r="AJ48" s="224" t="s">
        <v>107</v>
      </c>
    </row>
    <row r="49" spans="1:36" x14ac:dyDescent="0.2">
      <c r="A49" s="20"/>
      <c r="C49" s="20"/>
      <c r="D49" s="14"/>
      <c r="E49" s="14"/>
      <c r="F49" s="169"/>
      <c r="G49" s="12"/>
      <c r="H49" s="20"/>
      <c r="I49" s="14"/>
      <c r="J49" s="14"/>
      <c r="K49" s="12"/>
      <c r="M49" s="20"/>
      <c r="N49" s="14"/>
      <c r="O49" s="14"/>
      <c r="P49" s="12"/>
      <c r="R49" s="20"/>
      <c r="S49" s="14"/>
      <c r="T49" s="14"/>
      <c r="U49" s="12"/>
      <c r="W49" s="227"/>
      <c r="X49" s="226"/>
      <c r="Y49" s="226"/>
      <c r="Z49" s="224"/>
      <c r="AB49" s="227"/>
      <c r="AC49" s="226"/>
      <c r="AD49" s="226"/>
      <c r="AE49" s="224"/>
      <c r="AG49" s="227"/>
      <c r="AH49" s="226"/>
      <c r="AI49" s="226"/>
      <c r="AJ49" s="224"/>
    </row>
    <row r="50" spans="1:36" x14ac:dyDescent="0.2">
      <c r="A50" s="11">
        <v>7</v>
      </c>
      <c r="B50" s="4" t="str">
        <f>HLOOKUP(Language!$C$3,Language!$E$1:$Z566,22,FALSE)</f>
        <v>Digital Inputs 17 to 32</v>
      </c>
      <c r="C50" s="11" t="str">
        <f>HLOOKUP(Language!$C$3,Language!$E$1:$Z539,19,FALSE)</f>
        <v>24 V / 48 V</v>
      </c>
      <c r="D50" s="11">
        <v>1</v>
      </c>
      <c r="E50" s="11"/>
      <c r="F50" s="16" t="s">
        <v>107</v>
      </c>
      <c r="G50" s="12"/>
      <c r="H50" s="11" t="str">
        <f>HLOOKUP(Language!$C$3,Language!$E$1:$Z539,19,FALSE)</f>
        <v>24 V / 48 V</v>
      </c>
      <c r="I50" s="11">
        <v>1</v>
      </c>
      <c r="J50" s="11"/>
      <c r="K50" s="11" t="s">
        <v>107</v>
      </c>
      <c r="M50" s="11" t="str">
        <f>HLOOKUP(Language!$C$3,Language!$E$1:$Z539,19,FALSE)</f>
        <v>24 V / 48 V</v>
      </c>
      <c r="N50" s="11">
        <v>1</v>
      </c>
      <c r="O50" s="11"/>
      <c r="P50" s="11" t="s">
        <v>107</v>
      </c>
      <c r="R50" s="11" t="str">
        <f>HLOOKUP(Language!$C$3,Language!$E$1:$Z539,19,FALSE)</f>
        <v>24 V / 48 V</v>
      </c>
      <c r="S50" s="11">
        <v>1</v>
      </c>
      <c r="T50" s="11"/>
      <c r="U50" s="11" t="s">
        <v>107</v>
      </c>
      <c r="W50" s="223" t="str">
        <f>HLOOKUP(Language!$C$3,Language!$E$1:$Z539,19,FALSE)</f>
        <v>24 V / 48 V</v>
      </c>
      <c r="X50" s="223">
        <v>1</v>
      </c>
      <c r="Y50" s="223"/>
      <c r="Z50" s="223" t="s">
        <v>107</v>
      </c>
      <c r="AB50" s="223" t="str">
        <f>HLOOKUP(Language!$C$3,Language!$E$1:$Z539,19,FALSE)</f>
        <v>24 V / 48 V</v>
      </c>
      <c r="AC50" s="223">
        <v>1</v>
      </c>
      <c r="AD50" s="223"/>
      <c r="AE50" s="223" t="s">
        <v>107</v>
      </c>
      <c r="AG50" s="223" t="str">
        <f>HLOOKUP(Language!$C$3,Language!$E$1:$Z539,19,FALSE)</f>
        <v>24 V / 48 V</v>
      </c>
      <c r="AH50" s="223">
        <v>1</v>
      </c>
      <c r="AI50" s="223"/>
      <c r="AJ50" s="223" t="s">
        <v>107</v>
      </c>
    </row>
    <row r="51" spans="1:36" x14ac:dyDescent="0.2">
      <c r="A51" s="12"/>
      <c r="B51" s="24"/>
      <c r="C51" s="12" t="str">
        <f>HLOOKUP(Language!$C$3,Language!$E$1:$Z539,20,FALSE)</f>
        <v>125 V</v>
      </c>
      <c r="D51" s="14">
        <v>2</v>
      </c>
      <c r="E51" s="14"/>
      <c r="F51" s="169" t="s">
        <v>107</v>
      </c>
      <c r="G51" s="12"/>
      <c r="H51" s="12" t="str">
        <f>HLOOKUP(Language!$C$3,Language!$E$1:$Z539,20,FALSE)</f>
        <v>125 V</v>
      </c>
      <c r="I51" s="14">
        <v>2</v>
      </c>
      <c r="J51" s="14"/>
      <c r="K51" s="12" t="s">
        <v>107</v>
      </c>
      <c r="M51" s="12" t="str">
        <f>HLOOKUP(Language!$C$3,Language!$E$1:$Z539,20,FALSE)</f>
        <v>125 V</v>
      </c>
      <c r="N51" s="14">
        <v>2</v>
      </c>
      <c r="O51" s="14"/>
      <c r="P51" s="12" t="s">
        <v>107</v>
      </c>
      <c r="R51" s="12" t="str">
        <f>HLOOKUP(Language!$C$3,Language!$E$1:$Z539,20,FALSE)</f>
        <v>125 V</v>
      </c>
      <c r="S51" s="14">
        <v>2</v>
      </c>
      <c r="T51" s="14"/>
      <c r="U51" s="12" t="s">
        <v>107</v>
      </c>
      <c r="W51" s="224" t="str">
        <f>HLOOKUP(Language!$C$3,Language!$E$1:$Z539,20,FALSE)</f>
        <v>125 V</v>
      </c>
      <c r="X51" s="226">
        <v>2</v>
      </c>
      <c r="Y51" s="226"/>
      <c r="Z51" s="224" t="s">
        <v>107</v>
      </c>
      <c r="AB51" s="224" t="str">
        <f>HLOOKUP(Language!$C$3,Language!$E$1:$Z539,20,FALSE)</f>
        <v>125 V</v>
      </c>
      <c r="AC51" s="226">
        <v>2</v>
      </c>
      <c r="AD51" s="226"/>
      <c r="AE51" s="224" t="s">
        <v>107</v>
      </c>
      <c r="AG51" s="224" t="str">
        <f>HLOOKUP(Language!$C$3,Language!$E$1:$Z539,20,FALSE)</f>
        <v>125 V</v>
      </c>
      <c r="AH51" s="226">
        <v>2</v>
      </c>
      <c r="AI51" s="226"/>
      <c r="AJ51" s="224" t="s">
        <v>107</v>
      </c>
    </row>
    <row r="52" spans="1:36" x14ac:dyDescent="0.2">
      <c r="A52" s="12"/>
      <c r="B52" s="24"/>
      <c r="C52" s="12" t="str">
        <f>HLOOKUP(Language!$C$3,Language!$E$1:$Z539,21,FALSE)</f>
        <v>250 V</v>
      </c>
      <c r="D52" s="14">
        <v>3</v>
      </c>
      <c r="E52" s="14"/>
      <c r="F52" s="169" t="s">
        <v>107</v>
      </c>
      <c r="G52" s="12"/>
      <c r="H52" s="12" t="str">
        <f>HLOOKUP(Language!$C$3,Language!$E$1:$Z539,21,FALSE)</f>
        <v>250 V</v>
      </c>
      <c r="I52" s="14">
        <v>3</v>
      </c>
      <c r="J52" s="14"/>
      <c r="K52" s="12" t="s">
        <v>107</v>
      </c>
      <c r="M52" s="12" t="str">
        <f>HLOOKUP(Language!$C$3,Language!$E$1:$Z539,21,FALSE)</f>
        <v>250 V</v>
      </c>
      <c r="N52" s="14">
        <v>3</v>
      </c>
      <c r="O52" s="14"/>
      <c r="P52" s="12" t="s">
        <v>107</v>
      </c>
      <c r="R52" s="12" t="str">
        <f>HLOOKUP(Language!$C$3,Language!$E$1:$Z539,21,FALSE)</f>
        <v>250 V</v>
      </c>
      <c r="S52" s="14">
        <v>3</v>
      </c>
      <c r="T52" s="14"/>
      <c r="U52" s="12" t="s">
        <v>107</v>
      </c>
      <c r="W52" s="224" t="str">
        <f>HLOOKUP(Language!$C$3,Language!$E$1:$Z539,21,FALSE)</f>
        <v>250 V</v>
      </c>
      <c r="X52" s="226">
        <v>3</v>
      </c>
      <c r="Y52" s="226"/>
      <c r="Z52" s="224" t="s">
        <v>107</v>
      </c>
      <c r="AB52" s="224" t="str">
        <f>HLOOKUP(Language!$C$3,Language!$E$1:$Z539,21,FALSE)</f>
        <v>250 V</v>
      </c>
      <c r="AC52" s="226">
        <v>3</v>
      </c>
      <c r="AD52" s="226"/>
      <c r="AE52" s="224" t="s">
        <v>107</v>
      </c>
      <c r="AG52" s="224" t="str">
        <f>HLOOKUP(Language!$C$3,Language!$E$1:$Z539,21,FALSE)</f>
        <v>250 V</v>
      </c>
      <c r="AH52" s="226">
        <v>3</v>
      </c>
      <c r="AI52" s="226"/>
      <c r="AJ52" s="224" t="s">
        <v>107</v>
      </c>
    </row>
    <row r="53" spans="1:36" x14ac:dyDescent="0.2">
      <c r="A53" s="12"/>
      <c r="B53" s="24"/>
      <c r="C53" s="12" t="str">
        <f>HLOOKUP(Language!$C$3,Language!$E$1:$Z556,14,FALSE)</f>
        <v>Not installed</v>
      </c>
      <c r="D53" s="14" t="s">
        <v>11</v>
      </c>
      <c r="E53" s="14"/>
      <c r="F53" s="169" t="s">
        <v>107</v>
      </c>
      <c r="G53" s="12"/>
      <c r="H53" s="12" t="str">
        <f>HLOOKUP(Language!$C$3,Language!$E$1:$Z556,14,FALSE)</f>
        <v>Not installed</v>
      </c>
      <c r="I53" s="14" t="s">
        <v>11</v>
      </c>
      <c r="J53" s="14"/>
      <c r="K53" s="12" t="s">
        <v>107</v>
      </c>
      <c r="M53" s="12" t="str">
        <f>HLOOKUP(Language!$C$3,Language!$E$1:$Z556,14,FALSE)</f>
        <v>Not installed</v>
      </c>
      <c r="N53" s="14" t="s">
        <v>11</v>
      </c>
      <c r="O53" s="14"/>
      <c r="P53" s="12" t="s">
        <v>107</v>
      </c>
      <c r="R53" s="12" t="str">
        <f>HLOOKUP(Language!$C$3,Language!$E$1:$Z556,14,FALSE)</f>
        <v>Not installed</v>
      </c>
      <c r="S53" s="14" t="s">
        <v>11</v>
      </c>
      <c r="T53" s="14"/>
      <c r="U53" s="12" t="s">
        <v>107</v>
      </c>
      <c r="W53" s="224" t="str">
        <f>HLOOKUP(Language!$C$3,Language!$E$1:$Z556,14,FALSE)</f>
        <v>Not installed</v>
      </c>
      <c r="X53" s="226" t="s">
        <v>11</v>
      </c>
      <c r="Y53" s="226"/>
      <c r="Z53" s="224" t="s">
        <v>107</v>
      </c>
      <c r="AB53" s="224" t="str">
        <f>HLOOKUP(Language!$C$3,Language!$E$1:$Z556,14,FALSE)</f>
        <v>Not installed</v>
      </c>
      <c r="AC53" s="226" t="s">
        <v>11</v>
      </c>
      <c r="AD53" s="226"/>
      <c r="AE53" s="224" t="s">
        <v>107</v>
      </c>
      <c r="AG53" s="224" t="str">
        <f>HLOOKUP(Language!$C$3,Language!$E$1:$Z556,14,FALSE)</f>
        <v>Not installed</v>
      </c>
      <c r="AH53" s="226" t="s">
        <v>11</v>
      </c>
      <c r="AI53" s="226"/>
      <c r="AJ53" s="224" t="s">
        <v>107</v>
      </c>
    </row>
    <row r="54" spans="1:36" x14ac:dyDescent="0.2">
      <c r="A54" s="20"/>
      <c r="C54" s="171"/>
      <c r="D54" s="6"/>
      <c r="E54" s="6"/>
      <c r="G54" s="164"/>
      <c r="H54" s="171"/>
      <c r="I54" s="6"/>
      <c r="J54" s="6"/>
      <c r="K54" s="164"/>
      <c r="M54" s="171"/>
      <c r="N54" s="6"/>
      <c r="O54" s="6"/>
      <c r="P54" s="164"/>
      <c r="R54" s="171"/>
      <c r="S54" s="6"/>
      <c r="T54" s="6"/>
      <c r="U54" s="164"/>
      <c r="W54" s="238"/>
      <c r="X54" s="219"/>
      <c r="Y54" s="219"/>
      <c r="Z54" s="235"/>
      <c r="AB54" s="238"/>
      <c r="AC54" s="219"/>
      <c r="AD54" s="219"/>
      <c r="AE54" s="235"/>
      <c r="AG54" s="238"/>
      <c r="AH54" s="219"/>
      <c r="AI54" s="219"/>
      <c r="AJ54" s="235"/>
    </row>
    <row r="55" spans="1:36" x14ac:dyDescent="0.2">
      <c r="A55" s="11">
        <v>8</v>
      </c>
      <c r="B55" s="4" t="str">
        <f>HLOOKUP(Language!$C$3,Language!$E$1:$Z566,23,FALSE)</f>
        <v>Customization / Regionalisation</v>
      </c>
      <c r="C55" s="11" t="str">
        <f>HLOOKUP(Language!$C$3,Language!$E$1:$Z549,24,FALSE)</f>
        <v>Default</v>
      </c>
      <c r="D55" s="11" t="s">
        <v>0</v>
      </c>
      <c r="E55" s="11"/>
      <c r="F55" s="16" t="s">
        <v>107</v>
      </c>
      <c r="G55" s="12"/>
      <c r="H55" s="11" t="str">
        <f>HLOOKUP(Language!$C$3,Language!$E$1:$Z549,24,FALSE)</f>
        <v>Default</v>
      </c>
      <c r="I55" s="11" t="s">
        <v>0</v>
      </c>
      <c r="J55" s="11"/>
      <c r="K55" s="11" t="s">
        <v>107</v>
      </c>
      <c r="M55" s="11" t="str">
        <f>HLOOKUP(Language!$C$3,Language!$E$1:$Z549,49,FALSE)</f>
        <v>GE branding</v>
      </c>
      <c r="N55" s="11" t="s">
        <v>2</v>
      </c>
      <c r="O55" s="11"/>
      <c r="P55" s="11" t="s">
        <v>107</v>
      </c>
      <c r="R55" s="11" t="str">
        <f>HLOOKUP(Language!$C$3,Language!$E$1:$Z549,49,FALSE)</f>
        <v>GE branding</v>
      </c>
      <c r="S55" s="11" t="s">
        <v>2</v>
      </c>
      <c r="T55" s="11"/>
      <c r="U55" s="11" t="s">
        <v>107</v>
      </c>
      <c r="W55" s="223" t="str">
        <f>HLOOKUP(Language!$C$3,Language!$E$1:$Z549,49,FALSE)</f>
        <v>GE branding</v>
      </c>
      <c r="X55" s="223" t="s">
        <v>2</v>
      </c>
      <c r="Y55" s="223"/>
      <c r="Z55" s="223" t="s">
        <v>107</v>
      </c>
      <c r="AB55" s="223" t="str">
        <f>HLOOKUP(Language!$C$3,Language!$E$1:$Z549,49,FALSE)</f>
        <v>GE branding</v>
      </c>
      <c r="AC55" s="223" t="s">
        <v>2</v>
      </c>
      <c r="AD55" s="223"/>
      <c r="AE55" s="223" t="s">
        <v>107</v>
      </c>
      <c r="AG55" s="223" t="str">
        <f>HLOOKUP(Language!$C$3,Language!$E$1:$Z549,49,FALSE)</f>
        <v>GE branding</v>
      </c>
      <c r="AH55" s="223" t="s">
        <v>2</v>
      </c>
      <c r="AI55" s="223"/>
      <c r="AJ55" s="223" t="s">
        <v>107</v>
      </c>
    </row>
    <row r="56" spans="1:36" x14ac:dyDescent="0.2">
      <c r="A56" s="12"/>
      <c r="B56" s="24"/>
      <c r="C56" s="12" t="str">
        <f>HLOOKUP(Language!$C$3,Language!$E$1:$Z549,25,FALSE)</f>
        <v>Reason branding</v>
      </c>
      <c r="D56" s="14" t="s">
        <v>1</v>
      </c>
      <c r="E56" s="14"/>
      <c r="F56" s="169" t="s">
        <v>107</v>
      </c>
      <c r="G56" s="12"/>
      <c r="H56" s="12" t="str">
        <f>HLOOKUP(Language!$C$3,Language!$E$1:$Z549,25,FALSE)</f>
        <v>Reason branding</v>
      </c>
      <c r="I56" s="14" t="s">
        <v>1</v>
      </c>
      <c r="J56" s="14"/>
      <c r="K56" s="12" t="s">
        <v>107</v>
      </c>
      <c r="M56" s="12"/>
      <c r="N56" s="14"/>
      <c r="O56" s="14"/>
      <c r="P56" s="12"/>
      <c r="R56" s="12"/>
      <c r="S56" s="14"/>
      <c r="T56" s="14"/>
      <c r="U56" s="12"/>
      <c r="W56" s="224"/>
      <c r="X56" s="226"/>
      <c r="Y56" s="226"/>
      <c r="Z56" s="224"/>
      <c r="AB56" s="224"/>
      <c r="AC56" s="226"/>
      <c r="AD56" s="226"/>
      <c r="AE56" s="224"/>
      <c r="AG56" s="224"/>
      <c r="AH56" s="226"/>
      <c r="AI56" s="226"/>
      <c r="AJ56" s="224"/>
    </row>
    <row r="57" spans="1:36" x14ac:dyDescent="0.2">
      <c r="A57" s="20"/>
      <c r="C57" s="171"/>
      <c r="D57" s="6"/>
      <c r="E57" s="6"/>
      <c r="G57" s="164"/>
      <c r="H57" s="171"/>
      <c r="I57" s="6"/>
      <c r="J57" s="6"/>
      <c r="K57" s="164"/>
      <c r="M57" s="171"/>
      <c r="N57" s="6"/>
      <c r="O57" s="6"/>
      <c r="P57" s="164"/>
      <c r="R57" s="171"/>
      <c r="S57" s="6"/>
      <c r="T57" s="6"/>
      <c r="U57" s="164"/>
      <c r="W57" s="238"/>
      <c r="X57" s="219"/>
      <c r="Y57" s="219"/>
      <c r="Z57" s="235"/>
      <c r="AB57" s="238"/>
      <c r="AC57" s="219"/>
      <c r="AD57" s="219"/>
      <c r="AE57" s="235"/>
      <c r="AG57" s="238"/>
      <c r="AH57" s="219"/>
      <c r="AI57" s="219"/>
      <c r="AJ57" s="235"/>
    </row>
    <row r="58" spans="1:36" x14ac:dyDescent="0.2">
      <c r="A58" s="11">
        <v>9</v>
      </c>
      <c r="B58" s="4" t="str">
        <f>HLOOKUP(Language!$C$3,Language!$E$1:$Z566,26,FALSE)</f>
        <v>Hardware Design Suffix</v>
      </c>
      <c r="C58" s="11" t="str">
        <f>HLOOKUP(Language!$C$3,Language!$E$1:$Z566,27,FALSE)</f>
        <v>Third version</v>
      </c>
      <c r="D58" s="170" t="s">
        <v>2</v>
      </c>
      <c r="E58" s="13"/>
      <c r="F58" s="13" t="s">
        <v>107</v>
      </c>
      <c r="G58" s="12"/>
      <c r="H58" s="11" t="str">
        <f>HLOOKUP(Language!$C$3,Language!$E$1:$Z566,27,FALSE)</f>
        <v>Third version</v>
      </c>
      <c r="I58" s="170" t="s">
        <v>2</v>
      </c>
      <c r="J58" s="13"/>
      <c r="K58" s="11" t="s">
        <v>107</v>
      </c>
      <c r="M58" s="11" t="str">
        <f>HLOOKUP(Language!$C$3,Language!$E$1:$Z566,27,FALSE)</f>
        <v>Third version</v>
      </c>
      <c r="N58" s="170" t="s">
        <v>2</v>
      </c>
      <c r="O58" s="13"/>
      <c r="P58" s="11" t="s">
        <v>107</v>
      </c>
      <c r="R58" s="11" t="str">
        <f>HLOOKUP(Language!$C$3,Language!$E$1:$Z566,27,FALSE)</f>
        <v>Third version</v>
      </c>
      <c r="S58" s="170" t="s">
        <v>2</v>
      </c>
      <c r="T58" s="13"/>
      <c r="U58" s="11" t="s">
        <v>107</v>
      </c>
      <c r="W58" s="223" t="str">
        <f>HLOOKUP(Language!$C$3,Language!$E$1:$Z566,27,FALSE)</f>
        <v>Third version</v>
      </c>
      <c r="X58" s="237" t="s">
        <v>2</v>
      </c>
      <c r="Y58" s="225"/>
      <c r="Z58" s="223" t="s">
        <v>107</v>
      </c>
      <c r="AB58" s="223" t="str">
        <f>HLOOKUP(Language!$C$3,Language!$E$1:$Z566,27,FALSE)</f>
        <v>Third version</v>
      </c>
      <c r="AC58" s="237" t="s">
        <v>2</v>
      </c>
      <c r="AD58" s="225"/>
      <c r="AE58" s="223" t="s">
        <v>107</v>
      </c>
      <c r="AG58" s="223" t="str">
        <f>HLOOKUP(Language!$C$3,Language!$E$1:$Z566,27,FALSE)</f>
        <v>Third version</v>
      </c>
      <c r="AH58" s="237" t="s">
        <v>2</v>
      </c>
      <c r="AI58" s="225"/>
      <c r="AJ58" s="223" t="s">
        <v>107</v>
      </c>
    </row>
    <row r="59" spans="1:36" x14ac:dyDescent="0.2">
      <c r="A59" s="20"/>
      <c r="B59" s="172"/>
      <c r="C59" s="171"/>
      <c r="D59" s="173"/>
      <c r="E59" s="173"/>
      <c r="F59" s="173"/>
      <c r="G59" s="164"/>
      <c r="H59" s="171"/>
      <c r="I59" s="173"/>
      <c r="J59" s="173"/>
      <c r="K59" s="171"/>
      <c r="M59" s="171"/>
      <c r="N59" s="173"/>
      <c r="O59" s="173"/>
      <c r="P59" s="171"/>
      <c r="R59" s="171"/>
      <c r="S59" s="173"/>
      <c r="T59" s="173"/>
      <c r="U59" s="171"/>
      <c r="W59" s="238"/>
      <c r="X59" s="239"/>
      <c r="Y59" s="239"/>
      <c r="Z59" s="238"/>
      <c r="AB59" s="238"/>
      <c r="AC59" s="239"/>
      <c r="AD59" s="239"/>
      <c r="AE59" s="238"/>
      <c r="AG59" s="238"/>
      <c r="AH59" s="239"/>
      <c r="AI59" s="239"/>
      <c r="AJ59" s="238"/>
    </row>
  </sheetData>
  <phoneticPr fontId="19" type="noConversion"/>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63"/>
  <sheetViews>
    <sheetView topLeftCell="A34" zoomScaleNormal="100" workbookViewId="0">
      <selection activeCell="E56" sqref="E56:G56"/>
    </sheetView>
  </sheetViews>
  <sheetFormatPr defaultRowHeight="15" x14ac:dyDescent="0.25"/>
  <cols>
    <col min="1" max="1" width="2.42578125" style="124" customWidth="1"/>
    <col min="2" max="2" width="28.85546875" style="125" customWidth="1"/>
    <col min="3" max="3" width="3.140625" style="126" customWidth="1"/>
    <col min="4" max="4" width="3.140625" style="125" customWidth="1"/>
    <col min="5" max="6" width="72.7109375" style="127" customWidth="1"/>
    <col min="7" max="7" width="72.7109375" customWidth="1"/>
  </cols>
  <sheetData>
    <row r="1" spans="1:7" x14ac:dyDescent="0.25">
      <c r="B1" s="125" t="s">
        <v>32</v>
      </c>
      <c r="E1" s="127" t="s">
        <v>33</v>
      </c>
      <c r="F1" s="127" t="s">
        <v>34</v>
      </c>
      <c r="G1" t="s">
        <v>35</v>
      </c>
    </row>
    <row r="2" spans="1:7" x14ac:dyDescent="0.25">
      <c r="E2" s="127" t="s">
        <v>9</v>
      </c>
      <c r="F2" s="127" t="s">
        <v>36</v>
      </c>
      <c r="G2" s="127" t="s">
        <v>36</v>
      </c>
    </row>
    <row r="3" spans="1:7" x14ac:dyDescent="0.25">
      <c r="A3" s="128">
        <v>1</v>
      </c>
      <c r="B3" s="129" t="str">
        <f>VLOOKUP(A3,A4:C6,2,FALSE)</f>
        <v>English</v>
      </c>
      <c r="C3" s="130" t="str">
        <f>VLOOKUP(A3,A4:C6,3,FALSE)</f>
        <v>En</v>
      </c>
      <c r="D3" s="131"/>
      <c r="E3" s="127" t="s">
        <v>37</v>
      </c>
      <c r="F3" s="127" t="s">
        <v>38</v>
      </c>
      <c r="G3" t="s">
        <v>39</v>
      </c>
    </row>
    <row r="4" spans="1:7" x14ac:dyDescent="0.25">
      <c r="A4" s="132">
        <v>1</v>
      </c>
      <c r="B4" s="131" t="s">
        <v>40</v>
      </c>
      <c r="C4" s="133" t="s">
        <v>33</v>
      </c>
      <c r="D4" s="131"/>
      <c r="E4" s="127" t="s">
        <v>127</v>
      </c>
      <c r="F4" s="127" t="s">
        <v>127</v>
      </c>
      <c r="G4" s="127" t="s">
        <v>127</v>
      </c>
    </row>
    <row r="5" spans="1:7" x14ac:dyDescent="0.25">
      <c r="A5" s="132">
        <v>2</v>
      </c>
      <c r="B5" s="131" t="s">
        <v>41</v>
      </c>
      <c r="C5" s="133" t="s">
        <v>34</v>
      </c>
      <c r="D5" s="131"/>
      <c r="E5" s="127" t="s">
        <v>10</v>
      </c>
      <c r="F5" s="127" t="s">
        <v>42</v>
      </c>
      <c r="G5" t="s">
        <v>43</v>
      </c>
    </row>
    <row r="6" spans="1:7" x14ac:dyDescent="0.25">
      <c r="A6" s="134">
        <v>3</v>
      </c>
      <c r="B6" s="135" t="s">
        <v>44</v>
      </c>
      <c r="C6" s="136" t="s">
        <v>35</v>
      </c>
      <c r="D6" s="131"/>
      <c r="E6" s="127" t="s">
        <v>128</v>
      </c>
      <c r="F6" s="127" t="s">
        <v>129</v>
      </c>
      <c r="G6" s="127" t="s">
        <v>129</v>
      </c>
    </row>
    <row r="7" spans="1:7" x14ac:dyDescent="0.25">
      <c r="E7" s="127" t="s">
        <v>16</v>
      </c>
      <c r="F7" s="127" t="s">
        <v>45</v>
      </c>
      <c r="G7" t="s">
        <v>46</v>
      </c>
    </row>
    <row r="8" spans="1:7" x14ac:dyDescent="0.25">
      <c r="E8" s="127" t="s">
        <v>17</v>
      </c>
      <c r="F8" s="127" t="s">
        <v>17</v>
      </c>
      <c r="G8" s="127" t="s">
        <v>17</v>
      </c>
    </row>
    <row r="9" spans="1:7" x14ac:dyDescent="0.25">
      <c r="E9" s="127" t="s">
        <v>30</v>
      </c>
      <c r="F9" s="127" t="s">
        <v>47</v>
      </c>
      <c r="G9" s="127" t="s">
        <v>48</v>
      </c>
    </row>
    <row r="10" spans="1:7" x14ac:dyDescent="0.25">
      <c r="E10" s="127" t="s">
        <v>18</v>
      </c>
      <c r="F10" s="127" t="s">
        <v>18</v>
      </c>
      <c r="G10" s="127" t="s">
        <v>18</v>
      </c>
    </row>
    <row r="11" spans="1:7" x14ac:dyDescent="0.25">
      <c r="E11" s="127" t="s">
        <v>19</v>
      </c>
      <c r="F11" s="127" t="s">
        <v>19</v>
      </c>
      <c r="G11" s="127" t="s">
        <v>19</v>
      </c>
    </row>
    <row r="12" spans="1:7" x14ac:dyDescent="0.25">
      <c r="E12" s="127" t="s">
        <v>20</v>
      </c>
      <c r="F12" s="127" t="s">
        <v>20</v>
      </c>
      <c r="G12" s="127" t="s">
        <v>20</v>
      </c>
    </row>
    <row r="13" spans="1:7" x14ac:dyDescent="0.25">
      <c r="E13" s="127" t="s">
        <v>21</v>
      </c>
      <c r="F13" s="127" t="s">
        <v>21</v>
      </c>
      <c r="G13" s="127" t="s">
        <v>21</v>
      </c>
    </row>
    <row r="14" spans="1:7" x14ac:dyDescent="0.25">
      <c r="E14" s="127" t="s">
        <v>91</v>
      </c>
      <c r="F14" s="127" t="s">
        <v>92</v>
      </c>
      <c r="G14" t="s">
        <v>93</v>
      </c>
    </row>
    <row r="15" spans="1:7" x14ac:dyDescent="0.25">
      <c r="E15" s="127" t="s">
        <v>25</v>
      </c>
      <c r="F15" s="127" t="s">
        <v>49</v>
      </c>
      <c r="G15" t="s">
        <v>50</v>
      </c>
    </row>
    <row r="16" spans="1:7" x14ac:dyDescent="0.25">
      <c r="E16" s="127" t="s">
        <v>51</v>
      </c>
      <c r="F16" s="127" t="s">
        <v>52</v>
      </c>
      <c r="G16" t="s">
        <v>53</v>
      </c>
    </row>
    <row r="17" spans="5:7" x14ac:dyDescent="0.25">
      <c r="E17" s="127" t="s">
        <v>54</v>
      </c>
      <c r="F17" s="127" t="s">
        <v>55</v>
      </c>
      <c r="G17" t="s">
        <v>56</v>
      </c>
    </row>
    <row r="18" spans="5:7" x14ac:dyDescent="0.25">
      <c r="E18" s="127" t="s">
        <v>26</v>
      </c>
      <c r="F18" s="127" t="s">
        <v>57</v>
      </c>
      <c r="G18" t="s">
        <v>58</v>
      </c>
    </row>
    <row r="19" spans="5:7" x14ac:dyDescent="0.25">
      <c r="E19" s="127" t="s">
        <v>27</v>
      </c>
      <c r="F19" s="127" t="s">
        <v>27</v>
      </c>
      <c r="G19" s="127" t="s">
        <v>27</v>
      </c>
    </row>
    <row r="20" spans="5:7" x14ac:dyDescent="0.25">
      <c r="E20" s="127" t="s">
        <v>28</v>
      </c>
      <c r="F20" s="127" t="s">
        <v>28</v>
      </c>
      <c r="G20" s="127" t="s">
        <v>28</v>
      </c>
    </row>
    <row r="21" spans="5:7" x14ac:dyDescent="0.25">
      <c r="E21" s="127" t="s">
        <v>29</v>
      </c>
      <c r="F21" s="127" t="s">
        <v>29</v>
      </c>
      <c r="G21" s="127" t="s">
        <v>29</v>
      </c>
    </row>
    <row r="22" spans="5:7" x14ac:dyDescent="0.25">
      <c r="E22" s="127" t="s">
        <v>31</v>
      </c>
      <c r="F22" s="127" t="s">
        <v>59</v>
      </c>
      <c r="G22" t="s">
        <v>60</v>
      </c>
    </row>
    <row r="23" spans="5:7" x14ac:dyDescent="0.25">
      <c r="E23" s="127" t="s">
        <v>12</v>
      </c>
      <c r="F23" s="127" t="s">
        <v>61</v>
      </c>
      <c r="G23" t="s">
        <v>62</v>
      </c>
    </row>
    <row r="24" spans="5:7" x14ac:dyDescent="0.25">
      <c r="E24" s="127" t="s">
        <v>13</v>
      </c>
      <c r="F24" s="127" t="s">
        <v>13</v>
      </c>
      <c r="G24" s="127" t="s">
        <v>13</v>
      </c>
    </row>
    <row r="25" spans="5:7" x14ac:dyDescent="0.25">
      <c r="E25" s="127" t="s">
        <v>14</v>
      </c>
      <c r="F25" s="127" t="s">
        <v>63</v>
      </c>
      <c r="G25" s="127" t="s">
        <v>63</v>
      </c>
    </row>
    <row r="26" spans="5:7" x14ac:dyDescent="0.25">
      <c r="E26" s="127" t="s">
        <v>15</v>
      </c>
      <c r="F26" s="127" t="s">
        <v>95</v>
      </c>
      <c r="G26" s="127" t="s">
        <v>94</v>
      </c>
    </row>
    <row r="27" spans="5:7" x14ac:dyDescent="0.25">
      <c r="E27" s="127" t="s">
        <v>64</v>
      </c>
      <c r="F27" s="127" t="s">
        <v>96</v>
      </c>
      <c r="G27" t="s">
        <v>97</v>
      </c>
    </row>
    <row r="28" spans="5:7" x14ac:dyDescent="0.25">
      <c r="E28" s="127" t="s">
        <v>65</v>
      </c>
      <c r="F28" t="s">
        <v>66</v>
      </c>
      <c r="G28" t="s">
        <v>67</v>
      </c>
    </row>
    <row r="29" spans="5:7" x14ac:dyDescent="0.25">
      <c r="E29" s="127" t="s">
        <v>87</v>
      </c>
      <c r="F29" s="127" t="s">
        <v>88</v>
      </c>
      <c r="G29" t="s">
        <v>89</v>
      </c>
    </row>
    <row r="30" spans="5:7" x14ac:dyDescent="0.25">
      <c r="E30" s="127" t="s">
        <v>68</v>
      </c>
      <c r="F30" s="127" t="s">
        <v>69</v>
      </c>
      <c r="G30" t="s">
        <v>70</v>
      </c>
    </row>
    <row r="31" spans="5:7" x14ac:dyDescent="0.25">
      <c r="E31" s="127" t="s">
        <v>71</v>
      </c>
      <c r="F31" s="127" t="s">
        <v>72</v>
      </c>
      <c r="G31" t="s">
        <v>73</v>
      </c>
    </row>
    <row r="32" spans="5:7" ht="30" x14ac:dyDescent="0.25">
      <c r="E32" s="127" t="s">
        <v>3</v>
      </c>
      <c r="F32" s="127" t="s">
        <v>90</v>
      </c>
      <c r="G32" s="137" t="s">
        <v>74</v>
      </c>
    </row>
    <row r="33" spans="5:7" ht="45" x14ac:dyDescent="0.25">
      <c r="E33" s="127" t="s">
        <v>4</v>
      </c>
      <c r="F33" s="127" t="s">
        <v>75</v>
      </c>
      <c r="G33" s="137" t="s">
        <v>76</v>
      </c>
    </row>
    <row r="34" spans="5:7" ht="60" x14ac:dyDescent="0.25">
      <c r="E34" s="138" t="s">
        <v>5</v>
      </c>
      <c r="F34" s="127" t="s">
        <v>77</v>
      </c>
      <c r="G34" s="137" t="s">
        <v>78</v>
      </c>
    </row>
    <row r="35" spans="5:7" x14ac:dyDescent="0.25">
      <c r="E35" s="127" t="s">
        <v>79</v>
      </c>
      <c r="F35" s="127" t="s">
        <v>80</v>
      </c>
      <c r="G35" t="s">
        <v>81</v>
      </c>
    </row>
    <row r="36" spans="5:7" x14ac:dyDescent="0.25">
      <c r="E36" s="127" t="s">
        <v>6</v>
      </c>
      <c r="F36" s="127" t="s">
        <v>82</v>
      </c>
      <c r="G36" s="127" t="s">
        <v>82</v>
      </c>
    </row>
    <row r="37" spans="5:7" x14ac:dyDescent="0.25">
      <c r="E37" s="127" t="s">
        <v>7</v>
      </c>
      <c r="F37" s="127" t="s">
        <v>7</v>
      </c>
      <c r="G37" t="s">
        <v>83</v>
      </c>
    </row>
    <row r="38" spans="5:7" x14ac:dyDescent="0.25">
      <c r="E38" s="127" t="s">
        <v>84</v>
      </c>
      <c r="F38" s="127" t="s">
        <v>85</v>
      </c>
      <c r="G38" t="s">
        <v>86</v>
      </c>
    </row>
    <row r="39" spans="5:7" x14ac:dyDescent="0.25">
      <c r="E39" s="127" t="s">
        <v>184</v>
      </c>
      <c r="F39" s="127" t="s">
        <v>185</v>
      </c>
      <c r="G39" s="127" t="s">
        <v>186</v>
      </c>
    </row>
    <row r="40" spans="5:7" ht="24.75" x14ac:dyDescent="0.25">
      <c r="E40" s="243" t="s">
        <v>149</v>
      </c>
      <c r="F40" s="243" t="s">
        <v>150</v>
      </c>
      <c r="G40" s="243" t="s">
        <v>151</v>
      </c>
    </row>
    <row r="41" spans="5:7" ht="24.75" x14ac:dyDescent="0.25">
      <c r="E41" s="245" t="s">
        <v>178</v>
      </c>
      <c r="F41" s="245" t="s">
        <v>179</v>
      </c>
      <c r="G41" s="245" t="s">
        <v>180</v>
      </c>
    </row>
    <row r="42" spans="5:7" ht="24.75" x14ac:dyDescent="0.25">
      <c r="E42" s="245" t="s">
        <v>152</v>
      </c>
      <c r="F42" s="245" t="s">
        <v>153</v>
      </c>
      <c r="G42" s="245" t="s">
        <v>154</v>
      </c>
    </row>
    <row r="43" spans="5:7" x14ac:dyDescent="0.25">
      <c r="E43" s="127" t="s">
        <v>115</v>
      </c>
      <c r="F43" s="127" t="s">
        <v>116</v>
      </c>
      <c r="G43" s="127" t="s">
        <v>117</v>
      </c>
    </row>
    <row r="44" spans="5:7" ht="24.75" x14ac:dyDescent="0.25">
      <c r="E44" s="127" t="s">
        <v>112</v>
      </c>
      <c r="F44" s="127" t="s">
        <v>113</v>
      </c>
      <c r="G44" s="127" t="s">
        <v>114</v>
      </c>
    </row>
    <row r="45" spans="5:7" ht="24" x14ac:dyDescent="0.25">
      <c r="E45" s="138" t="s">
        <v>120</v>
      </c>
      <c r="F45" s="138" t="s">
        <v>118</v>
      </c>
      <c r="G45" s="189" t="s">
        <v>119</v>
      </c>
    </row>
    <row r="46" spans="5:7" x14ac:dyDescent="0.25">
      <c r="E46" s="127" t="s">
        <v>121</v>
      </c>
      <c r="F46" s="127" t="s">
        <v>122</v>
      </c>
      <c r="G46" s="127" t="s">
        <v>123</v>
      </c>
    </row>
    <row r="47" spans="5:7" x14ac:dyDescent="0.25">
      <c r="E47" s="127" t="s">
        <v>124</v>
      </c>
      <c r="F47" s="127" t="s">
        <v>125</v>
      </c>
      <c r="G47" s="127" t="s">
        <v>126</v>
      </c>
    </row>
    <row r="48" spans="5:7" x14ac:dyDescent="0.25">
      <c r="E48" s="127" t="s">
        <v>130</v>
      </c>
      <c r="F48" s="127" t="s">
        <v>131</v>
      </c>
      <c r="G48" s="127" t="s">
        <v>132</v>
      </c>
    </row>
    <row r="49" spans="5:7" x14ac:dyDescent="0.25">
      <c r="E49" s="127" t="s">
        <v>133</v>
      </c>
      <c r="F49" s="127" t="s">
        <v>134</v>
      </c>
      <c r="G49" s="127" t="s">
        <v>134</v>
      </c>
    </row>
    <row r="50" spans="5:7" x14ac:dyDescent="0.25">
      <c r="E50" s="127" t="s">
        <v>135</v>
      </c>
      <c r="F50" s="127" t="s">
        <v>136</v>
      </c>
      <c r="G50" s="127" t="s">
        <v>137</v>
      </c>
    </row>
    <row r="51" spans="5:7" x14ac:dyDescent="0.25">
      <c r="E51" s="127" t="s">
        <v>144</v>
      </c>
      <c r="F51" s="127" t="s">
        <v>138</v>
      </c>
      <c r="G51" t="s">
        <v>139</v>
      </c>
    </row>
    <row r="52" spans="5:7" ht="24.75" x14ac:dyDescent="0.25">
      <c r="E52" s="127" t="s">
        <v>141</v>
      </c>
      <c r="F52" s="127" t="s">
        <v>142</v>
      </c>
      <c r="G52" s="127" t="s">
        <v>143</v>
      </c>
    </row>
    <row r="53" spans="5:7" ht="24.75" x14ac:dyDescent="0.25">
      <c r="E53" s="127" t="s">
        <v>145</v>
      </c>
      <c r="F53" s="127" t="s">
        <v>146</v>
      </c>
      <c r="G53" s="127" t="s">
        <v>147</v>
      </c>
    </row>
    <row r="54" spans="5:7" x14ac:dyDescent="0.25">
      <c r="E54" s="242" t="s">
        <v>176</v>
      </c>
      <c r="F54" s="242" t="s">
        <v>176</v>
      </c>
      <c r="G54" s="242" t="s">
        <v>176</v>
      </c>
    </row>
    <row r="55" spans="5:7" ht="36.75" x14ac:dyDescent="0.25">
      <c r="E55" s="245" t="s">
        <v>181</v>
      </c>
      <c r="F55" s="245" t="s">
        <v>182</v>
      </c>
      <c r="G55" s="245" t="s">
        <v>183</v>
      </c>
    </row>
    <row r="56" spans="5:7" ht="30" x14ac:dyDescent="0.25">
      <c r="E56" s="138" t="s">
        <v>188</v>
      </c>
      <c r="F56" s="138" t="s">
        <v>189</v>
      </c>
      <c r="G56" s="271" t="s">
        <v>190</v>
      </c>
    </row>
    <row r="59" spans="5:7" x14ac:dyDescent="0.25">
      <c r="G59" s="137"/>
    </row>
    <row r="60" spans="5:7" x14ac:dyDescent="0.25">
      <c r="G60" s="137"/>
    </row>
    <row r="61" spans="5:7" x14ac:dyDescent="0.25">
      <c r="G61" s="137"/>
    </row>
    <row r="63" spans="5:7" x14ac:dyDescent="0.25">
      <c r="G63" s="127"/>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Disclaimer</vt:lpstr>
      <vt:lpstr>Cortec</vt:lpstr>
      <vt:lpstr>Configurator</vt:lpstr>
      <vt:lpstr>Master Text</vt:lpstr>
      <vt:lpstr>Boards &amp; Accessories</vt:lpstr>
      <vt:lpstr>Database</vt:lpstr>
      <vt:lpstr>Date Drivers</vt:lpstr>
      <vt:lpstr>Language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Stegmann Pineda</dc:creator>
  <cp:lastModifiedBy>Pires, Adriano (GE Renewable Energy)</cp:lastModifiedBy>
  <cp:lastPrinted>2014-02-20T10:54:46Z</cp:lastPrinted>
  <dcterms:created xsi:type="dcterms:W3CDTF">2012-11-20T14:50:48Z</dcterms:created>
  <dcterms:modified xsi:type="dcterms:W3CDTF">2021-02-03T14:28:21Z</dcterms:modified>
</cp:coreProperties>
</file>